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ocuments\NAEBA\November 2018 Journal\"/>
    </mc:Choice>
  </mc:AlternateContent>
  <bookViews>
    <workbookView xWindow="0" yWindow="0" windowWidth="18030" windowHeight="5925" firstSheet="6" activeTab="4"/>
  </bookViews>
  <sheets>
    <sheet name="10 yr fin" sheetId="1" r:id="rId1"/>
    <sheet name="5 yr fin" sheetId="2" r:id="rId2"/>
    <sheet name="5 yr starter 10-10 trophy" sheetId="3" r:id="rId3"/>
    <sheet name="5 yr Starter 10-1 trophy" sheetId="4" r:id="rId4"/>
    <sheet name="5 yr starter v-m 10-10" sheetId="5" r:id="rId5"/>
    <sheet name="10 yr starter 10-10 trophy " sheetId="6" r:id="rId6"/>
    <sheet name="10 yr starter 10-1 trophy" sheetId="7" r:id="rId7"/>
    <sheet name="10 r starter v-m 10-10" sheetId="8" r:id="rId8"/>
    <sheet name="5 yr exist v-m" sheetId="9" r:id="rId9"/>
    <sheet name="10 yr exist v-m" sheetId="10" r:id="rId10"/>
    <sheet name="5 yr exist trophy" sheetId="11" r:id="rId11"/>
    <sheet name="10 yr exist trophy" sheetId="12" r:id="rId12"/>
  </sheets>
  <calcPr calcId="162913"/>
</workbook>
</file>

<file path=xl/calcChain.xml><?xml version="1.0" encoding="utf-8"?>
<calcChain xmlns="http://schemas.openxmlformats.org/spreadsheetml/2006/main">
  <c r="C19" i="10" l="1"/>
  <c r="B55" i="11"/>
  <c r="C38" i="11"/>
  <c r="D38" i="11" s="1"/>
  <c r="E38" i="11" s="1"/>
  <c r="F38" i="11" s="1"/>
  <c r="G38" i="11" s="1"/>
  <c r="C37" i="11"/>
  <c r="D37" i="11" s="1"/>
  <c r="E37" i="11" s="1"/>
  <c r="F37" i="11" s="1"/>
  <c r="G37" i="11" s="1"/>
  <c r="C36" i="11"/>
  <c r="C30" i="11"/>
  <c r="C32" i="11" s="1"/>
  <c r="D29" i="11"/>
  <c r="E29" i="11" s="1"/>
  <c r="F29" i="11" s="1"/>
  <c r="G29" i="11" s="1"/>
  <c r="D26" i="11"/>
  <c r="E26" i="11" s="1"/>
  <c r="F26" i="11" s="1"/>
  <c r="G26" i="11" s="1"/>
  <c r="D24" i="11"/>
  <c r="E24" i="11" s="1"/>
  <c r="F24" i="11" s="1"/>
  <c r="G24" i="11" s="1"/>
  <c r="D22" i="11"/>
  <c r="E22" i="11" s="1"/>
  <c r="F22" i="11" s="1"/>
  <c r="G22" i="11" s="1"/>
  <c r="D16" i="11"/>
  <c r="C14" i="11"/>
  <c r="C44" i="11" s="1"/>
  <c r="D12" i="11"/>
  <c r="D11" i="11"/>
  <c r="A8" i="11"/>
  <c r="B55" i="12"/>
  <c r="C38" i="12"/>
  <c r="D38" i="12" s="1"/>
  <c r="E38" i="12" s="1"/>
  <c r="F38" i="12" s="1"/>
  <c r="G38" i="12" s="1"/>
  <c r="H38" i="12" s="1"/>
  <c r="I38" i="12" s="1"/>
  <c r="J38" i="12" s="1"/>
  <c r="K38" i="12" s="1"/>
  <c r="L38" i="12" s="1"/>
  <c r="C37" i="12"/>
  <c r="D37" i="12" s="1"/>
  <c r="E37" i="12" s="1"/>
  <c r="F37" i="12" s="1"/>
  <c r="G37" i="12" s="1"/>
  <c r="H37" i="12" s="1"/>
  <c r="I37" i="12" s="1"/>
  <c r="J37" i="12" s="1"/>
  <c r="K37" i="12" s="1"/>
  <c r="L37" i="12" s="1"/>
  <c r="C36" i="12"/>
  <c r="C30" i="12"/>
  <c r="C32" i="12" s="1"/>
  <c r="D29" i="12"/>
  <c r="E29" i="12" s="1"/>
  <c r="F29" i="12" s="1"/>
  <c r="G29" i="12" s="1"/>
  <c r="H29" i="12" s="1"/>
  <c r="I29" i="12" s="1"/>
  <c r="J29" i="12" s="1"/>
  <c r="K29" i="12" s="1"/>
  <c r="L29" i="12" s="1"/>
  <c r="D26" i="12"/>
  <c r="E26" i="12" s="1"/>
  <c r="F26" i="12" s="1"/>
  <c r="G26" i="12" s="1"/>
  <c r="H26" i="12" s="1"/>
  <c r="I26" i="12" s="1"/>
  <c r="J26" i="12" s="1"/>
  <c r="K26" i="12" s="1"/>
  <c r="L26" i="12" s="1"/>
  <c r="D24" i="12"/>
  <c r="E24" i="12" s="1"/>
  <c r="F24" i="12" s="1"/>
  <c r="G24" i="12" s="1"/>
  <c r="H24" i="12" s="1"/>
  <c r="I24" i="12" s="1"/>
  <c r="J24" i="12" s="1"/>
  <c r="K24" i="12" s="1"/>
  <c r="L24" i="12" s="1"/>
  <c r="E22" i="12"/>
  <c r="D16" i="12"/>
  <c r="C14" i="12"/>
  <c r="C19" i="12" s="1"/>
  <c r="D12" i="12"/>
  <c r="D11" i="12"/>
  <c r="E11" i="12" s="1"/>
  <c r="D10" i="12"/>
  <c r="E10" i="12" s="1"/>
  <c r="F10" i="12" s="1"/>
  <c r="G10" i="12" s="1"/>
  <c r="H10" i="12" s="1"/>
  <c r="I10" i="12" s="1"/>
  <c r="J10" i="12" s="1"/>
  <c r="K10" i="12" s="1"/>
  <c r="L10" i="12" s="1"/>
  <c r="A8" i="12"/>
  <c r="B57" i="8"/>
  <c r="B55" i="10"/>
  <c r="C38" i="10"/>
  <c r="D38" i="10" s="1"/>
  <c r="E38" i="10" s="1"/>
  <c r="F38" i="10" s="1"/>
  <c r="G38" i="10" s="1"/>
  <c r="H38" i="10" s="1"/>
  <c r="I38" i="10" s="1"/>
  <c r="J38" i="10" s="1"/>
  <c r="K38" i="10" s="1"/>
  <c r="L38" i="10" s="1"/>
  <c r="C37" i="10"/>
  <c r="D37" i="10" s="1"/>
  <c r="E37" i="10" s="1"/>
  <c r="F37" i="10" s="1"/>
  <c r="G37" i="10" s="1"/>
  <c r="H37" i="10" s="1"/>
  <c r="I37" i="10" s="1"/>
  <c r="J37" i="10" s="1"/>
  <c r="K37" i="10" s="1"/>
  <c r="L37" i="10" s="1"/>
  <c r="C36" i="10"/>
  <c r="C30" i="10"/>
  <c r="C32" i="10" s="1"/>
  <c r="C33" i="10" s="1"/>
  <c r="D29" i="10"/>
  <c r="E29" i="10" s="1"/>
  <c r="F29" i="10" s="1"/>
  <c r="G29" i="10" s="1"/>
  <c r="H29" i="10" s="1"/>
  <c r="I29" i="10" s="1"/>
  <c r="J29" i="10" s="1"/>
  <c r="K29" i="10" s="1"/>
  <c r="L29" i="10" s="1"/>
  <c r="D26" i="10"/>
  <c r="E26" i="10" s="1"/>
  <c r="F26" i="10" s="1"/>
  <c r="G26" i="10" s="1"/>
  <c r="H26" i="10" s="1"/>
  <c r="I26" i="10" s="1"/>
  <c r="J26" i="10" s="1"/>
  <c r="K26" i="10" s="1"/>
  <c r="L26" i="10" s="1"/>
  <c r="D24" i="10"/>
  <c r="E24" i="10" s="1"/>
  <c r="E22" i="10"/>
  <c r="F22" i="10" s="1"/>
  <c r="D16" i="10"/>
  <c r="C14" i="10"/>
  <c r="C39" i="10" s="1"/>
  <c r="D12" i="10"/>
  <c r="D11" i="10"/>
  <c r="D10" i="10"/>
  <c r="E10" i="10" s="1"/>
  <c r="F10" i="10" s="1"/>
  <c r="G10" i="10" s="1"/>
  <c r="H10" i="10" s="1"/>
  <c r="I10" i="10" s="1"/>
  <c r="J10" i="10" s="1"/>
  <c r="K10" i="10" s="1"/>
  <c r="L10" i="10" s="1"/>
  <c r="A8" i="10"/>
  <c r="B55" i="9"/>
  <c r="C38" i="9"/>
  <c r="D38" i="9" s="1"/>
  <c r="E38" i="9" s="1"/>
  <c r="F38" i="9" s="1"/>
  <c r="G38" i="9" s="1"/>
  <c r="C37" i="9"/>
  <c r="C36" i="9"/>
  <c r="C30" i="9"/>
  <c r="C32" i="9" s="1"/>
  <c r="D29" i="9"/>
  <c r="D26" i="9"/>
  <c r="E26" i="9" s="1"/>
  <c r="F26" i="9" s="1"/>
  <c r="G26" i="9" s="1"/>
  <c r="D24" i="9"/>
  <c r="E24" i="9" s="1"/>
  <c r="F24" i="9" s="1"/>
  <c r="G24" i="9" s="1"/>
  <c r="D22" i="9"/>
  <c r="E22" i="9" s="1"/>
  <c r="D16" i="9"/>
  <c r="C14" i="9"/>
  <c r="C41" i="9" s="1"/>
  <c r="D12" i="9"/>
  <c r="D11" i="9"/>
  <c r="A8" i="9"/>
  <c r="C19" i="11" l="1"/>
  <c r="E11" i="11"/>
  <c r="C19" i="9"/>
  <c r="E11" i="10"/>
  <c r="D14" i="10"/>
  <c r="E17" i="10" s="1"/>
  <c r="C18" i="10"/>
  <c r="C27" i="10" s="1"/>
  <c r="D14" i="11"/>
  <c r="E17" i="11" s="1"/>
  <c r="C18" i="11"/>
  <c r="C27" i="11" s="1"/>
  <c r="C41" i="11"/>
  <c r="D13" i="11"/>
  <c r="E12" i="11" s="1"/>
  <c r="F11" i="11" s="1"/>
  <c r="C45" i="11"/>
  <c r="D17" i="11"/>
  <c r="D30" i="11" s="1"/>
  <c r="D32" i="11" s="1"/>
  <c r="C33" i="11"/>
  <c r="C42" i="11"/>
  <c r="C39" i="11"/>
  <c r="C43" i="11"/>
  <c r="C40" i="11"/>
  <c r="C44" i="12"/>
  <c r="C42" i="12"/>
  <c r="C40" i="12"/>
  <c r="D17" i="12"/>
  <c r="E16" i="12" s="1"/>
  <c r="D13" i="12"/>
  <c r="C45" i="12"/>
  <c r="C43" i="12"/>
  <c r="C41" i="12"/>
  <c r="C39" i="12"/>
  <c r="C18" i="12"/>
  <c r="C27" i="12" s="1"/>
  <c r="F22" i="12"/>
  <c r="D14" i="12"/>
  <c r="C33" i="12"/>
  <c r="F24" i="10"/>
  <c r="G24" i="10" s="1"/>
  <c r="H24" i="10" s="1"/>
  <c r="I24" i="10" s="1"/>
  <c r="J24" i="10" s="1"/>
  <c r="K24" i="10" s="1"/>
  <c r="L24" i="10" s="1"/>
  <c r="G22" i="10"/>
  <c r="C44" i="10"/>
  <c r="C42" i="10"/>
  <c r="C40" i="10"/>
  <c r="D17" i="10"/>
  <c r="D13" i="10"/>
  <c r="D19" i="10" s="1"/>
  <c r="C45" i="10"/>
  <c r="C43" i="10"/>
  <c r="E16" i="10"/>
  <c r="C41" i="10"/>
  <c r="D13" i="9"/>
  <c r="E12" i="9" s="1"/>
  <c r="E29" i="9"/>
  <c r="F29" i="9" s="1"/>
  <c r="G29" i="9" s="1"/>
  <c r="C33" i="9"/>
  <c r="C44" i="9"/>
  <c r="C40" i="9"/>
  <c r="C43" i="9"/>
  <c r="C39" i="9"/>
  <c r="C42" i="9"/>
  <c r="C18" i="9"/>
  <c r="C27" i="9" s="1"/>
  <c r="D17" i="9"/>
  <c r="F22" i="9"/>
  <c r="C45" i="9"/>
  <c r="D14" i="9"/>
  <c r="E11" i="9"/>
  <c r="D37" i="9"/>
  <c r="E37" i="9" s="1"/>
  <c r="F37" i="9" s="1"/>
  <c r="G37" i="9" s="1"/>
  <c r="C30" i="5"/>
  <c r="C30" i="1"/>
  <c r="C30" i="2"/>
  <c r="C30" i="3"/>
  <c r="C30" i="4"/>
  <c r="C30" i="6"/>
  <c r="C30" i="7"/>
  <c r="C32" i="7" s="1"/>
  <c r="C33" i="7" s="1"/>
  <c r="C30" i="8"/>
  <c r="C32" i="8" s="1"/>
  <c r="C38" i="8"/>
  <c r="D38" i="8" s="1"/>
  <c r="E38" i="8" s="1"/>
  <c r="F38" i="8" s="1"/>
  <c r="G38" i="8" s="1"/>
  <c r="H38" i="8" s="1"/>
  <c r="I38" i="8" s="1"/>
  <c r="J38" i="8" s="1"/>
  <c r="K38" i="8" s="1"/>
  <c r="L38" i="8" s="1"/>
  <c r="C37" i="8"/>
  <c r="D37" i="8" s="1"/>
  <c r="E37" i="8" s="1"/>
  <c r="F37" i="8" s="1"/>
  <c r="G37" i="8" s="1"/>
  <c r="H37" i="8" s="1"/>
  <c r="I37" i="8" s="1"/>
  <c r="J37" i="8" s="1"/>
  <c r="K37" i="8" s="1"/>
  <c r="L37" i="8" s="1"/>
  <c r="C36" i="8"/>
  <c r="D29" i="8"/>
  <c r="E29" i="8" s="1"/>
  <c r="F29" i="8" s="1"/>
  <c r="G29" i="8" s="1"/>
  <c r="H29" i="8" s="1"/>
  <c r="I29" i="8" s="1"/>
  <c r="J29" i="8" s="1"/>
  <c r="K29" i="8" s="1"/>
  <c r="L29" i="8" s="1"/>
  <c r="D26" i="8"/>
  <c r="E26" i="8" s="1"/>
  <c r="F26" i="8" s="1"/>
  <c r="G26" i="8" s="1"/>
  <c r="H26" i="8" s="1"/>
  <c r="I26" i="8" s="1"/>
  <c r="J26" i="8" s="1"/>
  <c r="K26" i="8" s="1"/>
  <c r="L26" i="8" s="1"/>
  <c r="D24" i="8"/>
  <c r="E22" i="8"/>
  <c r="D16" i="8"/>
  <c r="C14" i="8"/>
  <c r="D13" i="8"/>
  <c r="E12" i="8" s="1"/>
  <c r="D12" i="8"/>
  <c r="D11" i="8"/>
  <c r="D10" i="8"/>
  <c r="E10" i="8" s="1"/>
  <c r="F10" i="8" s="1"/>
  <c r="G10" i="8" s="1"/>
  <c r="H10" i="8" s="1"/>
  <c r="I10" i="8" s="1"/>
  <c r="J10" i="8" s="1"/>
  <c r="K10" i="8" s="1"/>
  <c r="L10" i="8" s="1"/>
  <c r="A8" i="8"/>
  <c r="B57" i="7"/>
  <c r="C44" i="7"/>
  <c r="C43" i="7"/>
  <c r="C40" i="7"/>
  <c r="C39" i="7"/>
  <c r="C38" i="7"/>
  <c r="D38" i="7" s="1"/>
  <c r="E38" i="7" s="1"/>
  <c r="F38" i="7" s="1"/>
  <c r="G38" i="7" s="1"/>
  <c r="H38" i="7" s="1"/>
  <c r="I38" i="7" s="1"/>
  <c r="J38" i="7" s="1"/>
  <c r="K38" i="7" s="1"/>
  <c r="L38" i="7" s="1"/>
  <c r="C37" i="7"/>
  <c r="D37" i="7" s="1"/>
  <c r="E37" i="7" s="1"/>
  <c r="F37" i="7" s="1"/>
  <c r="G37" i="7" s="1"/>
  <c r="H37" i="7" s="1"/>
  <c r="I37" i="7" s="1"/>
  <c r="J37" i="7" s="1"/>
  <c r="K37" i="7" s="1"/>
  <c r="L37" i="7" s="1"/>
  <c r="C36" i="7"/>
  <c r="E29" i="7"/>
  <c r="F29" i="7" s="1"/>
  <c r="G29" i="7" s="1"/>
  <c r="H29" i="7" s="1"/>
  <c r="I29" i="7" s="1"/>
  <c r="J29" i="7" s="1"/>
  <c r="K29" i="7" s="1"/>
  <c r="L29" i="7" s="1"/>
  <c r="D29" i="7"/>
  <c r="D26" i="7"/>
  <c r="E26" i="7" s="1"/>
  <c r="F26" i="7" s="1"/>
  <c r="G26" i="7" s="1"/>
  <c r="H26" i="7" s="1"/>
  <c r="I26" i="7" s="1"/>
  <c r="J26" i="7" s="1"/>
  <c r="K26" i="7" s="1"/>
  <c r="L26" i="7" s="1"/>
  <c r="D24" i="7"/>
  <c r="E24" i="7" s="1"/>
  <c r="E22" i="7"/>
  <c r="F22" i="7" s="1"/>
  <c r="G22" i="7" s="1"/>
  <c r="D17" i="7"/>
  <c r="D30" i="7" s="1"/>
  <c r="D16" i="7"/>
  <c r="C14" i="7"/>
  <c r="D13" i="7"/>
  <c r="E12" i="7"/>
  <c r="D12" i="7"/>
  <c r="D11" i="7"/>
  <c r="D10" i="7"/>
  <c r="E10" i="7" s="1"/>
  <c r="F10" i="7" s="1"/>
  <c r="G10" i="7" s="1"/>
  <c r="H10" i="7" s="1"/>
  <c r="I10" i="7" s="1"/>
  <c r="J10" i="7" s="1"/>
  <c r="K10" i="7" s="1"/>
  <c r="L10" i="7" s="1"/>
  <c r="A8" i="7"/>
  <c r="D24" i="6"/>
  <c r="E24" i="6" s="1"/>
  <c r="F24" i="6" s="1"/>
  <c r="G24" i="6" s="1"/>
  <c r="H24" i="6" s="1"/>
  <c r="I24" i="6" s="1"/>
  <c r="J24" i="6" s="1"/>
  <c r="K24" i="6" s="1"/>
  <c r="L24" i="6" s="1"/>
  <c r="E26" i="6"/>
  <c r="D29" i="6"/>
  <c r="E29" i="6" s="1"/>
  <c r="F29" i="6" s="1"/>
  <c r="G29" i="6" s="1"/>
  <c r="H29" i="6" s="1"/>
  <c r="I29" i="6" s="1"/>
  <c r="J29" i="6" s="1"/>
  <c r="K29" i="6" s="1"/>
  <c r="L29" i="6" s="1"/>
  <c r="C36" i="6"/>
  <c r="C36" i="3"/>
  <c r="C36" i="4"/>
  <c r="B57" i="6"/>
  <c r="C38" i="6"/>
  <c r="D38" i="6" s="1"/>
  <c r="E38" i="6" s="1"/>
  <c r="F38" i="6" s="1"/>
  <c r="G38" i="6" s="1"/>
  <c r="H38" i="6" s="1"/>
  <c r="I38" i="6" s="1"/>
  <c r="J38" i="6" s="1"/>
  <c r="K38" i="6" s="1"/>
  <c r="L38" i="6" s="1"/>
  <c r="D37" i="6"/>
  <c r="E37" i="6" s="1"/>
  <c r="F37" i="6" s="1"/>
  <c r="G37" i="6" s="1"/>
  <c r="H37" i="6" s="1"/>
  <c r="I37" i="6" s="1"/>
  <c r="J37" i="6" s="1"/>
  <c r="K37" i="6" s="1"/>
  <c r="L37" i="6" s="1"/>
  <c r="C37" i="6"/>
  <c r="C32" i="6"/>
  <c r="D26" i="6"/>
  <c r="E22" i="6"/>
  <c r="D16" i="6"/>
  <c r="C14" i="6"/>
  <c r="D12" i="6"/>
  <c r="D11" i="6"/>
  <c r="D10" i="6"/>
  <c r="E10" i="6" s="1"/>
  <c r="F10" i="6" s="1"/>
  <c r="G10" i="6" s="1"/>
  <c r="H10" i="6" s="1"/>
  <c r="I10" i="6" s="1"/>
  <c r="J10" i="6" s="1"/>
  <c r="K10" i="6" s="1"/>
  <c r="L10" i="6" s="1"/>
  <c r="A8" i="6"/>
  <c r="D24" i="5"/>
  <c r="E24" i="5" s="1"/>
  <c r="F24" i="5" s="1"/>
  <c r="G24" i="5" s="1"/>
  <c r="C36" i="5"/>
  <c r="B57" i="5"/>
  <c r="C38" i="5"/>
  <c r="D38" i="5" s="1"/>
  <c r="E38" i="5" s="1"/>
  <c r="F38" i="5" s="1"/>
  <c r="G38" i="5" s="1"/>
  <c r="C37" i="5"/>
  <c r="D37" i="5" s="1"/>
  <c r="E37" i="5" s="1"/>
  <c r="F37" i="5" s="1"/>
  <c r="G37" i="5" s="1"/>
  <c r="C32" i="5"/>
  <c r="D29" i="5"/>
  <c r="E29" i="5" s="1"/>
  <c r="F29" i="5" s="1"/>
  <c r="G29" i="5" s="1"/>
  <c r="D26" i="5"/>
  <c r="E26" i="5" s="1"/>
  <c r="F26" i="5" s="1"/>
  <c r="G26" i="5" s="1"/>
  <c r="D22" i="5"/>
  <c r="E22" i="5" s="1"/>
  <c r="F22" i="5" s="1"/>
  <c r="D16" i="5"/>
  <c r="C14" i="5"/>
  <c r="D12" i="5"/>
  <c r="D11" i="5"/>
  <c r="A8" i="5"/>
  <c r="D29" i="4"/>
  <c r="E29" i="4" s="1"/>
  <c r="F29" i="4" s="1"/>
  <c r="G29" i="4" s="1"/>
  <c r="B57" i="4"/>
  <c r="D38" i="4"/>
  <c r="E38" i="4" s="1"/>
  <c r="F38" i="4" s="1"/>
  <c r="G38" i="4" s="1"/>
  <c r="C38" i="4"/>
  <c r="C37" i="4"/>
  <c r="D37" i="4" s="1"/>
  <c r="E37" i="4" s="1"/>
  <c r="F37" i="4" s="1"/>
  <c r="G37" i="4" s="1"/>
  <c r="C32" i="4"/>
  <c r="C33" i="4" s="1"/>
  <c r="D26" i="4"/>
  <c r="E26" i="4" s="1"/>
  <c r="F26" i="4" s="1"/>
  <c r="G26" i="4" s="1"/>
  <c r="D24" i="4"/>
  <c r="E24" i="4" s="1"/>
  <c r="F24" i="4" s="1"/>
  <c r="G24" i="4" s="1"/>
  <c r="D22" i="4"/>
  <c r="D16" i="4"/>
  <c r="C14" i="4"/>
  <c r="C19" i="4" s="1"/>
  <c r="D12" i="4"/>
  <c r="D11" i="4"/>
  <c r="A8" i="4"/>
  <c r="B57" i="1"/>
  <c r="B57" i="2"/>
  <c r="E28" i="3"/>
  <c r="D29" i="3"/>
  <c r="E29" i="3" s="1"/>
  <c r="F29" i="3" s="1"/>
  <c r="G29" i="3" s="1"/>
  <c r="B57" i="3"/>
  <c r="D38" i="3"/>
  <c r="E38" i="3" s="1"/>
  <c r="F38" i="3" s="1"/>
  <c r="G38" i="3" s="1"/>
  <c r="C38" i="3"/>
  <c r="C37" i="3"/>
  <c r="D37" i="3" s="1"/>
  <c r="E37" i="3" s="1"/>
  <c r="F37" i="3" s="1"/>
  <c r="G37" i="3" s="1"/>
  <c r="C32" i="3"/>
  <c r="C33" i="3" s="1"/>
  <c r="D26" i="3"/>
  <c r="E26" i="3" s="1"/>
  <c r="F26" i="3" s="1"/>
  <c r="G26" i="3" s="1"/>
  <c r="D24" i="3"/>
  <c r="E24" i="3" s="1"/>
  <c r="F24" i="3" s="1"/>
  <c r="G24" i="3" s="1"/>
  <c r="D22" i="3"/>
  <c r="E22" i="3" s="1"/>
  <c r="D16" i="3"/>
  <c r="C14" i="3"/>
  <c r="D12" i="3"/>
  <c r="D11" i="3"/>
  <c r="A8" i="3"/>
  <c r="D36" i="3" l="1"/>
  <c r="C18" i="6"/>
  <c r="C27" i="6" s="1"/>
  <c r="C19" i="6"/>
  <c r="C18" i="8"/>
  <c r="C27" i="8" s="1"/>
  <c r="C19" i="8"/>
  <c r="D14" i="6"/>
  <c r="C18" i="7"/>
  <c r="C27" i="7" s="1"/>
  <c r="C19" i="7"/>
  <c r="C41" i="7"/>
  <c r="C46" i="7" s="1"/>
  <c r="C45" i="7"/>
  <c r="E11" i="8"/>
  <c r="D19" i="3"/>
  <c r="F26" i="6"/>
  <c r="G26" i="6" s="1"/>
  <c r="H26" i="6" s="1"/>
  <c r="I26" i="6" s="1"/>
  <c r="J26" i="6" s="1"/>
  <c r="K26" i="6" s="1"/>
  <c r="L26" i="6" s="1"/>
  <c r="C42" i="3"/>
  <c r="C19" i="3"/>
  <c r="C42" i="5"/>
  <c r="C19" i="5"/>
  <c r="E16" i="7"/>
  <c r="C42" i="7"/>
  <c r="D17" i="8"/>
  <c r="D30" i="8" s="1"/>
  <c r="C40" i="8"/>
  <c r="D30" i="12"/>
  <c r="D32" i="12" s="1"/>
  <c r="D33" i="12" s="1"/>
  <c r="C46" i="12"/>
  <c r="C49" i="12" s="1"/>
  <c r="C51" i="12" s="1"/>
  <c r="D18" i="12"/>
  <c r="D27" i="12" s="1"/>
  <c r="D41" i="12"/>
  <c r="D19" i="12"/>
  <c r="D19" i="11"/>
  <c r="D19" i="9"/>
  <c r="D42" i="10"/>
  <c r="C46" i="10"/>
  <c r="E13" i="10"/>
  <c r="F12" i="10" s="1"/>
  <c r="E13" i="11"/>
  <c r="F12" i="11" s="1"/>
  <c r="F14" i="11" s="1"/>
  <c r="D42" i="11"/>
  <c r="D44" i="11"/>
  <c r="D43" i="11"/>
  <c r="D41" i="11"/>
  <c r="D40" i="11"/>
  <c r="D39" i="11"/>
  <c r="E16" i="11"/>
  <c r="E14" i="11"/>
  <c r="F17" i="11" s="1"/>
  <c r="D45" i="11"/>
  <c r="D18" i="11"/>
  <c r="D27" i="11" s="1"/>
  <c r="D36" i="11"/>
  <c r="C46" i="11"/>
  <c r="D33" i="11"/>
  <c r="D45" i="12"/>
  <c r="G22" i="12"/>
  <c r="E12" i="12"/>
  <c r="D36" i="12"/>
  <c r="E13" i="12"/>
  <c r="F12" i="12" s="1"/>
  <c r="E17" i="12"/>
  <c r="F16" i="12" s="1"/>
  <c r="D43" i="12"/>
  <c r="D42" i="12"/>
  <c r="D44" i="12"/>
  <c r="D40" i="12"/>
  <c r="D39" i="12"/>
  <c r="D36" i="5"/>
  <c r="E14" i="8"/>
  <c r="C42" i="8"/>
  <c r="C44" i="8"/>
  <c r="H22" i="10"/>
  <c r="E12" i="10"/>
  <c r="D36" i="10"/>
  <c r="D18" i="10"/>
  <c r="D27" i="10" s="1"/>
  <c r="E30" i="10"/>
  <c r="E32" i="10" s="1"/>
  <c r="F16" i="10"/>
  <c r="D30" i="10"/>
  <c r="D32" i="10" s="1"/>
  <c r="D44" i="10"/>
  <c r="D39" i="10"/>
  <c r="D43" i="10"/>
  <c r="D41" i="10"/>
  <c r="D40" i="10"/>
  <c r="D45" i="10"/>
  <c r="D18" i="9"/>
  <c r="D27" i="9" s="1"/>
  <c r="D36" i="9"/>
  <c r="D40" i="9"/>
  <c r="D39" i="9"/>
  <c r="C46" i="9"/>
  <c r="D43" i="9"/>
  <c r="D45" i="9"/>
  <c r="E14" i="9"/>
  <c r="F11" i="9"/>
  <c r="D44" i="9"/>
  <c r="D30" i="9"/>
  <c r="D32" i="9" s="1"/>
  <c r="E17" i="9"/>
  <c r="E13" i="9"/>
  <c r="F12" i="9" s="1"/>
  <c r="D42" i="9"/>
  <c r="D41" i="9"/>
  <c r="G22" i="9"/>
  <c r="E16" i="9"/>
  <c r="F17" i="8"/>
  <c r="F13" i="8"/>
  <c r="G12" i="8" s="1"/>
  <c r="E16" i="8"/>
  <c r="C33" i="8"/>
  <c r="D32" i="8"/>
  <c r="F11" i="8"/>
  <c r="D14" i="8"/>
  <c r="D19" i="8" s="1"/>
  <c r="F22" i="8"/>
  <c r="E24" i="8"/>
  <c r="F24" i="8" s="1"/>
  <c r="G24" i="8" s="1"/>
  <c r="H24" i="8" s="1"/>
  <c r="I24" i="8" s="1"/>
  <c r="J24" i="8" s="1"/>
  <c r="K24" i="8" s="1"/>
  <c r="L24" i="8" s="1"/>
  <c r="C39" i="8"/>
  <c r="C41" i="8"/>
  <c r="C43" i="8"/>
  <c r="C45" i="8"/>
  <c r="D36" i="8"/>
  <c r="D32" i="7"/>
  <c r="D36" i="7"/>
  <c r="D14" i="7"/>
  <c r="D19" i="7" s="1"/>
  <c r="E11" i="7"/>
  <c r="H22" i="7"/>
  <c r="F24" i="7"/>
  <c r="G24" i="7" s="1"/>
  <c r="H24" i="7" s="1"/>
  <c r="I24" i="7" s="1"/>
  <c r="J24" i="7" s="1"/>
  <c r="K24" i="7" s="1"/>
  <c r="L24" i="7" s="1"/>
  <c r="C40" i="6"/>
  <c r="C45" i="6"/>
  <c r="C43" i="6"/>
  <c r="C41" i="6"/>
  <c r="C39" i="6"/>
  <c r="D17" i="6"/>
  <c r="D30" i="6" s="1"/>
  <c r="D13" i="6"/>
  <c r="D36" i="6" s="1"/>
  <c r="C44" i="6"/>
  <c r="C33" i="6"/>
  <c r="E11" i="6"/>
  <c r="F22" i="6"/>
  <c r="C42" i="6"/>
  <c r="C33" i="5"/>
  <c r="G22" i="5"/>
  <c r="D13" i="5"/>
  <c r="E12" i="5" s="1"/>
  <c r="C40" i="5"/>
  <c r="C44" i="5"/>
  <c r="E11" i="5"/>
  <c r="D14" i="5"/>
  <c r="D17" i="5"/>
  <c r="D18" i="5" s="1"/>
  <c r="D27" i="5" s="1"/>
  <c r="C41" i="5"/>
  <c r="C39" i="5"/>
  <c r="C43" i="5"/>
  <c r="C18" i="5"/>
  <c r="C27" i="5" s="1"/>
  <c r="C45" i="5"/>
  <c r="C42" i="4"/>
  <c r="C45" i="4"/>
  <c r="C41" i="4"/>
  <c r="C44" i="4"/>
  <c r="C40" i="4"/>
  <c r="C18" i="4"/>
  <c r="C27" i="4" s="1"/>
  <c r="D17" i="4"/>
  <c r="D44" i="4" s="1"/>
  <c r="C43" i="4"/>
  <c r="C39" i="4"/>
  <c r="E22" i="4"/>
  <c r="D18" i="4"/>
  <c r="D27" i="4" s="1"/>
  <c r="D14" i="4"/>
  <c r="D41" i="4" s="1"/>
  <c r="E11" i="4"/>
  <c r="D42" i="4"/>
  <c r="D13" i="4"/>
  <c r="E12" i="4" s="1"/>
  <c r="E16" i="4"/>
  <c r="C43" i="3"/>
  <c r="D17" i="3"/>
  <c r="D30" i="3" s="1"/>
  <c r="D32" i="3" s="1"/>
  <c r="F22" i="3"/>
  <c r="C40" i="3"/>
  <c r="C44" i="3"/>
  <c r="E16" i="3"/>
  <c r="C41" i="3"/>
  <c r="C45" i="3"/>
  <c r="D13" i="3"/>
  <c r="E12" i="3" s="1"/>
  <c r="C39" i="3"/>
  <c r="E11" i="3"/>
  <c r="D14" i="3"/>
  <c r="C18" i="3"/>
  <c r="C27" i="3" s="1"/>
  <c r="C38" i="2"/>
  <c r="D38" i="2" s="1"/>
  <c r="E38" i="2" s="1"/>
  <c r="F38" i="2" s="1"/>
  <c r="G38" i="2" s="1"/>
  <c r="C37" i="2"/>
  <c r="D36" i="2"/>
  <c r="C36" i="2"/>
  <c r="C32" i="2"/>
  <c r="F29" i="2"/>
  <c r="G29" i="2" s="1"/>
  <c r="D26" i="2"/>
  <c r="E26" i="2" s="1"/>
  <c r="F26" i="2" s="1"/>
  <c r="G26" i="2" s="1"/>
  <c r="D24" i="2"/>
  <c r="E24" i="2" s="1"/>
  <c r="F24" i="2" s="1"/>
  <c r="G24" i="2" s="1"/>
  <c r="D22" i="2"/>
  <c r="D16" i="2"/>
  <c r="C14" i="2"/>
  <c r="C41" i="2" s="1"/>
  <c r="D12" i="2"/>
  <c r="D11" i="2"/>
  <c r="A8" i="2"/>
  <c r="C42" i="1"/>
  <c r="C38" i="1"/>
  <c r="D38" i="1" s="1"/>
  <c r="E38" i="1" s="1"/>
  <c r="F38" i="1" s="1"/>
  <c r="G38" i="1" s="1"/>
  <c r="H38" i="1" s="1"/>
  <c r="I38" i="1" s="1"/>
  <c r="J38" i="1" s="1"/>
  <c r="K38" i="1" s="1"/>
  <c r="L38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C36" i="1"/>
  <c r="C32" i="1"/>
  <c r="G29" i="1"/>
  <c r="H29" i="1" s="1"/>
  <c r="I29" i="1" s="1"/>
  <c r="J29" i="1" s="1"/>
  <c r="K29" i="1" s="1"/>
  <c r="L29" i="1" s="1"/>
  <c r="F29" i="1"/>
  <c r="D26" i="1"/>
  <c r="E26" i="1" s="1"/>
  <c r="F26" i="1" s="1"/>
  <c r="G26" i="1" s="1"/>
  <c r="H26" i="1" s="1"/>
  <c r="I26" i="1" s="1"/>
  <c r="J26" i="1" s="1"/>
  <c r="K26" i="1" s="1"/>
  <c r="L26" i="1" s="1"/>
  <c r="D24" i="1"/>
  <c r="E22" i="1"/>
  <c r="F22" i="1" s="1"/>
  <c r="D17" i="1"/>
  <c r="D16" i="1"/>
  <c r="D30" i="1" s="1"/>
  <c r="C14" i="1"/>
  <c r="C19" i="1" s="1"/>
  <c r="D13" i="1"/>
  <c r="E12" i="1" s="1"/>
  <c r="D12" i="1"/>
  <c r="D11" i="1"/>
  <c r="D10" i="1"/>
  <c r="E10" i="1" s="1"/>
  <c r="F10" i="1" s="1"/>
  <c r="G10" i="1" s="1"/>
  <c r="H10" i="1" s="1"/>
  <c r="I10" i="1" s="1"/>
  <c r="J10" i="1" s="1"/>
  <c r="K10" i="1" s="1"/>
  <c r="L10" i="1" s="1"/>
  <c r="A8" i="1"/>
  <c r="C18" i="1" l="1"/>
  <c r="C27" i="1" s="1"/>
  <c r="C44" i="1"/>
  <c r="D13" i="2"/>
  <c r="E12" i="2" s="1"/>
  <c r="D43" i="4"/>
  <c r="D40" i="5"/>
  <c r="E36" i="6"/>
  <c r="D19" i="6"/>
  <c r="D30" i="4"/>
  <c r="C44" i="2"/>
  <c r="C19" i="2"/>
  <c r="D40" i="6"/>
  <c r="E17" i="6"/>
  <c r="E13" i="6"/>
  <c r="F12" i="6" s="1"/>
  <c r="E16" i="1"/>
  <c r="C40" i="1"/>
  <c r="C45" i="2"/>
  <c r="D18" i="3"/>
  <c r="D27" i="3" s="1"/>
  <c r="D45" i="3"/>
  <c r="E36" i="4"/>
  <c r="D36" i="4"/>
  <c r="D19" i="5"/>
  <c r="C42" i="2"/>
  <c r="E36" i="3"/>
  <c r="D32" i="4"/>
  <c r="D33" i="4" s="1"/>
  <c r="E16" i="6"/>
  <c r="E30" i="6" s="1"/>
  <c r="D19" i="4"/>
  <c r="C47" i="7"/>
  <c r="C53" i="7"/>
  <c r="C50" i="12"/>
  <c r="C47" i="12"/>
  <c r="E30" i="11"/>
  <c r="E32" i="11" s="1"/>
  <c r="E19" i="11"/>
  <c r="E19" i="9"/>
  <c r="C47" i="9"/>
  <c r="C47" i="10"/>
  <c r="C49" i="10"/>
  <c r="C51" i="10" s="1"/>
  <c r="F13" i="11"/>
  <c r="G12" i="11" s="1"/>
  <c r="G11" i="11"/>
  <c r="D46" i="11"/>
  <c r="E36" i="11"/>
  <c r="E45" i="11"/>
  <c r="E39" i="11"/>
  <c r="E43" i="11"/>
  <c r="E42" i="11"/>
  <c r="E41" i="11"/>
  <c r="F16" i="11"/>
  <c r="D47" i="11"/>
  <c r="E40" i="11"/>
  <c r="E18" i="11"/>
  <c r="E27" i="11" s="1"/>
  <c r="E44" i="11"/>
  <c r="C49" i="11"/>
  <c r="C50" i="11" s="1"/>
  <c r="C47" i="11"/>
  <c r="G17" i="11"/>
  <c r="G13" i="11"/>
  <c r="E33" i="11"/>
  <c r="E14" i="12"/>
  <c r="E19" i="12" s="1"/>
  <c r="E36" i="12"/>
  <c r="F11" i="12"/>
  <c r="E30" i="12"/>
  <c r="E32" i="12" s="1"/>
  <c r="H22" i="12"/>
  <c r="D46" i="12"/>
  <c r="D39" i="5"/>
  <c r="D30" i="5"/>
  <c r="D32" i="5" s="1"/>
  <c r="E16" i="5"/>
  <c r="E19" i="5" s="1"/>
  <c r="C46" i="5"/>
  <c r="C53" i="5" s="1"/>
  <c r="D39" i="8"/>
  <c r="D41" i="8"/>
  <c r="D42" i="8"/>
  <c r="D40" i="8"/>
  <c r="D18" i="8"/>
  <c r="D27" i="8" s="1"/>
  <c r="D33" i="10"/>
  <c r="D46" i="10"/>
  <c r="D47" i="10" s="1"/>
  <c r="E33" i="10"/>
  <c r="I22" i="10"/>
  <c r="E36" i="10"/>
  <c r="E14" i="10"/>
  <c r="E19" i="10" s="1"/>
  <c r="F11" i="10"/>
  <c r="D46" i="9"/>
  <c r="C49" i="9"/>
  <c r="C50" i="9" s="1"/>
  <c r="F16" i="9"/>
  <c r="E30" i="9"/>
  <c r="E32" i="9" s="1"/>
  <c r="D33" i="9"/>
  <c r="E39" i="9"/>
  <c r="F14" i="9"/>
  <c r="G11" i="9"/>
  <c r="E18" i="9"/>
  <c r="E27" i="9" s="1"/>
  <c r="E36" i="9"/>
  <c r="F17" i="9"/>
  <c r="F13" i="9"/>
  <c r="G12" i="9" s="1"/>
  <c r="E42" i="9"/>
  <c r="E40" i="9"/>
  <c r="E41" i="9"/>
  <c r="E43" i="9"/>
  <c r="E44" i="9"/>
  <c r="E45" i="9"/>
  <c r="C46" i="8"/>
  <c r="G22" i="8"/>
  <c r="D33" i="8"/>
  <c r="E17" i="8"/>
  <c r="E30" i="8" s="1"/>
  <c r="E32" i="8" s="1"/>
  <c r="E13" i="8"/>
  <c r="E19" i="8" s="1"/>
  <c r="F16" i="8"/>
  <c r="F30" i="8" s="1"/>
  <c r="D45" i="8"/>
  <c r="E41" i="8"/>
  <c r="D44" i="8"/>
  <c r="D43" i="8"/>
  <c r="C49" i="7"/>
  <c r="C51" i="7" s="1"/>
  <c r="E17" i="7"/>
  <c r="E30" i="7" s="1"/>
  <c r="E13" i="7"/>
  <c r="F12" i="7" s="1"/>
  <c r="D45" i="7"/>
  <c r="D44" i="7"/>
  <c r="D33" i="7"/>
  <c r="I22" i="7"/>
  <c r="D18" i="7"/>
  <c r="D27" i="7" s="1"/>
  <c r="D41" i="7"/>
  <c r="D39" i="7"/>
  <c r="D43" i="7"/>
  <c r="D40" i="7"/>
  <c r="F11" i="7"/>
  <c r="E14" i="7"/>
  <c r="E18" i="7"/>
  <c r="E27" i="7" s="1"/>
  <c r="D42" i="7"/>
  <c r="C46" i="6"/>
  <c r="E32" i="6"/>
  <c r="F16" i="6"/>
  <c r="E12" i="6"/>
  <c r="D18" i="6"/>
  <c r="D27" i="6" s="1"/>
  <c r="D42" i="6"/>
  <c r="D45" i="6"/>
  <c r="D41" i="6"/>
  <c r="D32" i="6"/>
  <c r="D44" i="6"/>
  <c r="D43" i="6"/>
  <c r="G22" i="6"/>
  <c r="D39" i="6"/>
  <c r="D33" i="5"/>
  <c r="C49" i="5"/>
  <c r="E14" i="5"/>
  <c r="F11" i="5"/>
  <c r="D42" i="5"/>
  <c r="D41" i="5"/>
  <c r="D43" i="5"/>
  <c r="D44" i="5"/>
  <c r="E17" i="5"/>
  <c r="E13" i="5"/>
  <c r="F12" i="5" s="1"/>
  <c r="D45" i="5"/>
  <c r="C46" i="4"/>
  <c r="E14" i="4"/>
  <c r="F11" i="4"/>
  <c r="E17" i="4"/>
  <c r="E40" i="4" s="1"/>
  <c r="E13" i="4"/>
  <c r="F12" i="4" s="1"/>
  <c r="D45" i="4"/>
  <c r="F22" i="4"/>
  <c r="D39" i="4"/>
  <c r="D40" i="4"/>
  <c r="C46" i="3"/>
  <c r="E13" i="3"/>
  <c r="F12" i="3" s="1"/>
  <c r="E17" i="3"/>
  <c r="F16" i="3" s="1"/>
  <c r="D40" i="3"/>
  <c r="D39" i="3"/>
  <c r="D33" i="3"/>
  <c r="D41" i="3"/>
  <c r="E40" i="3"/>
  <c r="E41" i="3"/>
  <c r="E14" i="3"/>
  <c r="F11" i="3"/>
  <c r="E42" i="3"/>
  <c r="G22" i="3"/>
  <c r="D42" i="3"/>
  <c r="D44" i="3"/>
  <c r="D43" i="3"/>
  <c r="D37" i="2"/>
  <c r="E37" i="2" s="1"/>
  <c r="F37" i="2" s="1"/>
  <c r="G37" i="2" s="1"/>
  <c r="C33" i="2"/>
  <c r="E22" i="2"/>
  <c r="C39" i="2"/>
  <c r="C46" i="2" s="1"/>
  <c r="C43" i="2"/>
  <c r="E11" i="2"/>
  <c r="D14" i="2"/>
  <c r="D43" i="2" s="1"/>
  <c r="D17" i="2"/>
  <c r="D30" i="2" s="1"/>
  <c r="C18" i="2"/>
  <c r="C27" i="2" s="1"/>
  <c r="C40" i="2"/>
  <c r="G22" i="1"/>
  <c r="C33" i="1"/>
  <c r="D36" i="1"/>
  <c r="E11" i="1"/>
  <c r="D14" i="1"/>
  <c r="D19" i="1" s="1"/>
  <c r="D32" i="1"/>
  <c r="C45" i="1"/>
  <c r="C43" i="1"/>
  <c r="C41" i="1"/>
  <c r="C39" i="1"/>
  <c r="E24" i="1"/>
  <c r="F30" i="6" l="1"/>
  <c r="E42" i="7"/>
  <c r="E19" i="7"/>
  <c r="F19" i="7"/>
  <c r="E44" i="3"/>
  <c r="E45" i="6"/>
  <c r="E14" i="6"/>
  <c r="E44" i="7"/>
  <c r="E43" i="7"/>
  <c r="E40" i="8"/>
  <c r="E30" i="4"/>
  <c r="E32" i="4" s="1"/>
  <c r="E19" i="3"/>
  <c r="E19" i="4"/>
  <c r="E19" i="6"/>
  <c r="E43" i="3"/>
  <c r="F11" i="6"/>
  <c r="F14" i="6" s="1"/>
  <c r="E45" i="7"/>
  <c r="E30" i="3"/>
  <c r="D19" i="2"/>
  <c r="C47" i="2"/>
  <c r="C53" i="2"/>
  <c r="C49" i="3"/>
  <c r="C53" i="3"/>
  <c r="C47" i="4"/>
  <c r="C53" i="4"/>
  <c r="C47" i="6"/>
  <c r="C53" i="6"/>
  <c r="D46" i="8"/>
  <c r="F19" i="11"/>
  <c r="E18" i="12"/>
  <c r="E27" i="12" s="1"/>
  <c r="E45" i="12"/>
  <c r="E44" i="12"/>
  <c r="E39" i="12"/>
  <c r="E42" i="12"/>
  <c r="E40" i="12"/>
  <c r="E43" i="12"/>
  <c r="E41" i="12"/>
  <c r="G14" i="11"/>
  <c r="F19" i="9"/>
  <c r="D47" i="9"/>
  <c r="E40" i="10"/>
  <c r="E45" i="10"/>
  <c r="E42" i="10"/>
  <c r="C50" i="10"/>
  <c r="D49" i="10"/>
  <c r="D51" i="10" s="1"/>
  <c r="D49" i="11"/>
  <c r="D51" i="11" s="1"/>
  <c r="F36" i="11"/>
  <c r="G36" i="11"/>
  <c r="F39" i="11"/>
  <c r="F40" i="11"/>
  <c r="F41" i="11"/>
  <c r="F45" i="11"/>
  <c r="F30" i="11"/>
  <c r="F32" i="11" s="1"/>
  <c r="F33" i="11" s="1"/>
  <c r="C51" i="11"/>
  <c r="E46" i="11"/>
  <c r="E47" i="11" s="1"/>
  <c r="F42" i="11"/>
  <c r="F43" i="11"/>
  <c r="F18" i="11"/>
  <c r="F27" i="11" s="1"/>
  <c r="F44" i="11"/>
  <c r="G16" i="11"/>
  <c r="F14" i="12"/>
  <c r="G11" i="12"/>
  <c r="D47" i="12"/>
  <c r="D49" i="12"/>
  <c r="E33" i="12"/>
  <c r="I22" i="12"/>
  <c r="F17" i="12"/>
  <c r="F13" i="12"/>
  <c r="G12" i="12" s="1"/>
  <c r="E18" i="5"/>
  <c r="E27" i="5" s="1"/>
  <c r="E42" i="5"/>
  <c r="E39" i="5"/>
  <c r="C47" i="5"/>
  <c r="E30" i="5"/>
  <c r="F16" i="5"/>
  <c r="F19" i="5" s="1"/>
  <c r="E36" i="5"/>
  <c r="C49" i="8"/>
  <c r="C51" i="8" s="1"/>
  <c r="C53" i="8"/>
  <c r="F14" i="10"/>
  <c r="G11" i="10"/>
  <c r="F17" i="10"/>
  <c r="F13" i="10"/>
  <c r="G12" i="10" s="1"/>
  <c r="E41" i="10"/>
  <c r="E18" i="10"/>
  <c r="E27" i="10" s="1"/>
  <c r="E44" i="10"/>
  <c r="E39" i="10"/>
  <c r="E43" i="10"/>
  <c r="J22" i="10"/>
  <c r="C51" i="9"/>
  <c r="D49" i="9"/>
  <c r="D51" i="9" s="1"/>
  <c r="F39" i="9"/>
  <c r="F45" i="9"/>
  <c r="F42" i="9"/>
  <c r="F43" i="9"/>
  <c r="G13" i="9"/>
  <c r="G36" i="9" s="1"/>
  <c r="G17" i="9"/>
  <c r="E46" i="9"/>
  <c r="F36" i="9"/>
  <c r="F41" i="9"/>
  <c r="F40" i="9"/>
  <c r="F44" i="9"/>
  <c r="E33" i="9"/>
  <c r="F18" i="9"/>
  <c r="F27" i="9" s="1"/>
  <c r="G14" i="9"/>
  <c r="G19" i="9" s="1"/>
  <c r="B54" i="9" s="1"/>
  <c r="F30" i="9"/>
  <c r="F32" i="9" s="1"/>
  <c r="G16" i="9"/>
  <c r="C47" i="8"/>
  <c r="E33" i="8"/>
  <c r="F32" i="8"/>
  <c r="G16" i="8"/>
  <c r="F12" i="8"/>
  <c r="E36" i="8"/>
  <c r="E18" i="8"/>
  <c r="E27" i="8" s="1"/>
  <c r="E42" i="8"/>
  <c r="E39" i="8"/>
  <c r="E45" i="8"/>
  <c r="E44" i="8"/>
  <c r="E43" i="8"/>
  <c r="H22" i="8"/>
  <c r="C50" i="7"/>
  <c r="D46" i="7"/>
  <c r="D53" i="7" s="1"/>
  <c r="G11" i="7"/>
  <c r="F14" i="7"/>
  <c r="F17" i="7"/>
  <c r="F13" i="7"/>
  <c r="G12" i="7" s="1"/>
  <c r="E39" i="7"/>
  <c r="F16" i="7"/>
  <c r="F30" i="7" s="1"/>
  <c r="E32" i="7"/>
  <c r="E36" i="7"/>
  <c r="E40" i="7"/>
  <c r="E41" i="7"/>
  <c r="J22" i="7"/>
  <c r="C49" i="6"/>
  <c r="C51" i="6" s="1"/>
  <c r="D46" i="6"/>
  <c r="E33" i="6"/>
  <c r="H22" i="6"/>
  <c r="D33" i="6"/>
  <c r="F13" i="6"/>
  <c r="G12" i="6" s="1"/>
  <c r="F17" i="6"/>
  <c r="E41" i="6"/>
  <c r="E40" i="6"/>
  <c r="G16" i="6"/>
  <c r="D46" i="5"/>
  <c r="D47" i="5" s="1"/>
  <c r="E41" i="5"/>
  <c r="E43" i="5"/>
  <c r="E40" i="5"/>
  <c r="E32" i="5"/>
  <c r="E45" i="5"/>
  <c r="F14" i="5"/>
  <c r="G11" i="5"/>
  <c r="E44" i="5"/>
  <c r="F13" i="5"/>
  <c r="G12" i="5" s="1"/>
  <c r="F17" i="5"/>
  <c r="G16" i="5" s="1"/>
  <c r="C51" i="5"/>
  <c r="C50" i="5"/>
  <c r="C49" i="4"/>
  <c r="C51" i="4" s="1"/>
  <c r="D46" i="4"/>
  <c r="E33" i="4"/>
  <c r="E45" i="4"/>
  <c r="E39" i="4"/>
  <c r="E44" i="4"/>
  <c r="G22" i="4"/>
  <c r="E18" i="4"/>
  <c r="E27" i="4" s="1"/>
  <c r="E42" i="4"/>
  <c r="E43" i="4"/>
  <c r="G11" i="4"/>
  <c r="F14" i="4"/>
  <c r="F16" i="4"/>
  <c r="E41" i="4"/>
  <c r="F13" i="4"/>
  <c r="G12" i="4" s="1"/>
  <c r="F17" i="4"/>
  <c r="C47" i="3"/>
  <c r="D46" i="3"/>
  <c r="G16" i="3"/>
  <c r="C51" i="3"/>
  <c r="C50" i="3"/>
  <c r="F14" i="3"/>
  <c r="G11" i="3"/>
  <c r="F17" i="3"/>
  <c r="F13" i="3"/>
  <c r="G12" i="3" s="1"/>
  <c r="E18" i="3"/>
  <c r="E27" i="3" s="1"/>
  <c r="E32" i="3"/>
  <c r="E45" i="3"/>
  <c r="E39" i="3"/>
  <c r="D41" i="2"/>
  <c r="D32" i="2"/>
  <c r="D44" i="2"/>
  <c r="D40" i="2"/>
  <c r="E16" i="2"/>
  <c r="E19" i="2" s="1"/>
  <c r="D42" i="2"/>
  <c r="E13" i="2"/>
  <c r="F12" i="2" s="1"/>
  <c r="D18" i="2"/>
  <c r="D27" i="2" s="1"/>
  <c r="E17" i="2"/>
  <c r="C49" i="2"/>
  <c r="D45" i="2"/>
  <c r="D39" i="2"/>
  <c r="E36" i="2"/>
  <c r="E45" i="2"/>
  <c r="E43" i="2"/>
  <c r="E14" i="2"/>
  <c r="F11" i="2"/>
  <c r="F22" i="2"/>
  <c r="E17" i="1"/>
  <c r="E30" i="1" s="1"/>
  <c r="E13" i="1"/>
  <c r="F12" i="1" s="1"/>
  <c r="E14" i="1"/>
  <c r="F11" i="1"/>
  <c r="E36" i="1"/>
  <c r="D44" i="1"/>
  <c r="F24" i="1"/>
  <c r="D18" i="1"/>
  <c r="D27" i="1" s="1"/>
  <c r="D43" i="1"/>
  <c r="H22" i="1"/>
  <c r="C46" i="1"/>
  <c r="C53" i="1" s="1"/>
  <c r="D41" i="1"/>
  <c r="D40" i="1"/>
  <c r="D33" i="1"/>
  <c r="D39" i="1"/>
  <c r="D45" i="1"/>
  <c r="D42" i="1"/>
  <c r="F39" i="6" l="1"/>
  <c r="F19" i="10"/>
  <c r="E19" i="1"/>
  <c r="G36" i="3"/>
  <c r="E42" i="1"/>
  <c r="F45" i="3"/>
  <c r="F41" i="6"/>
  <c r="F19" i="6"/>
  <c r="F36" i="6"/>
  <c r="F19" i="2"/>
  <c r="F40" i="3"/>
  <c r="F44" i="4"/>
  <c r="F30" i="4"/>
  <c r="G11" i="6"/>
  <c r="D49" i="7"/>
  <c r="F30" i="5"/>
  <c r="F32" i="5" s="1"/>
  <c r="F30" i="3"/>
  <c r="F32" i="3" s="1"/>
  <c r="F36" i="4"/>
  <c r="F36" i="3"/>
  <c r="E39" i="1"/>
  <c r="E44" i="2"/>
  <c r="E42" i="2"/>
  <c r="E30" i="2"/>
  <c r="F42" i="3"/>
  <c r="F42" i="6"/>
  <c r="D47" i="7"/>
  <c r="E44" i="6"/>
  <c r="E39" i="6"/>
  <c r="E42" i="6"/>
  <c r="E43" i="6"/>
  <c r="F19" i="4"/>
  <c r="E18" i="6"/>
  <c r="E27" i="6" s="1"/>
  <c r="F19" i="3"/>
  <c r="D47" i="3"/>
  <c r="D53" i="3"/>
  <c r="D49" i="4"/>
  <c r="D50" i="4" s="1"/>
  <c r="D53" i="4"/>
  <c r="D47" i="6"/>
  <c r="D53" i="6"/>
  <c r="D47" i="8"/>
  <c r="D53" i="8"/>
  <c r="D49" i="8"/>
  <c r="D50" i="8" s="1"/>
  <c r="C50" i="8"/>
  <c r="E46" i="12"/>
  <c r="E47" i="12" s="1"/>
  <c r="F36" i="12"/>
  <c r="F19" i="12"/>
  <c r="G18" i="11"/>
  <c r="G27" i="11" s="1"/>
  <c r="G19" i="11"/>
  <c r="B54" i="11" s="1"/>
  <c r="B56" i="11" s="1"/>
  <c r="E47" i="9"/>
  <c r="F36" i="10"/>
  <c r="D50" i="10"/>
  <c r="E46" i="10"/>
  <c r="E47" i="10" s="1"/>
  <c r="D50" i="11"/>
  <c r="E49" i="11"/>
  <c r="E51" i="11" s="1"/>
  <c r="G44" i="11"/>
  <c r="G45" i="11"/>
  <c r="G42" i="11"/>
  <c r="F46" i="11"/>
  <c r="F47" i="11" s="1"/>
  <c r="G39" i="11"/>
  <c r="G40" i="11"/>
  <c r="G30" i="11"/>
  <c r="G32" i="11" s="1"/>
  <c r="G33" i="11" s="1"/>
  <c r="G41" i="11"/>
  <c r="G43" i="11"/>
  <c r="G16" i="12"/>
  <c r="F30" i="12"/>
  <c r="F32" i="12" s="1"/>
  <c r="F40" i="12"/>
  <c r="F18" i="12"/>
  <c r="F27" i="12" s="1"/>
  <c r="J22" i="12"/>
  <c r="F41" i="12"/>
  <c r="F42" i="12"/>
  <c r="F44" i="12"/>
  <c r="F45" i="12"/>
  <c r="F39" i="12"/>
  <c r="D51" i="12"/>
  <c r="D50" i="12"/>
  <c r="H11" i="12"/>
  <c r="G14" i="12"/>
  <c r="F43" i="12"/>
  <c r="G13" i="12"/>
  <c r="H12" i="12" s="1"/>
  <c r="G17" i="12"/>
  <c r="D46" i="1"/>
  <c r="D53" i="1" s="1"/>
  <c r="E53" i="5"/>
  <c r="D53" i="5"/>
  <c r="F36" i="5"/>
  <c r="F30" i="10"/>
  <c r="F32" i="10" s="1"/>
  <c r="G16" i="10"/>
  <c r="G19" i="10" s="1"/>
  <c r="F18" i="10"/>
  <c r="F27" i="10" s="1"/>
  <c r="G14" i="10"/>
  <c r="H11" i="10"/>
  <c r="F39" i="10"/>
  <c r="F45" i="10"/>
  <c r="K22" i="10"/>
  <c r="F41" i="10"/>
  <c r="F40" i="10"/>
  <c r="F42" i="10"/>
  <c r="F43" i="10"/>
  <c r="F44" i="10"/>
  <c r="G17" i="10"/>
  <c r="G13" i="10"/>
  <c r="H12" i="10" s="1"/>
  <c r="D50" i="9"/>
  <c r="E49" i="9"/>
  <c r="E50" i="9" s="1"/>
  <c r="G18" i="9"/>
  <c r="G27" i="9" s="1"/>
  <c r="G30" i="9"/>
  <c r="G32" i="9" s="1"/>
  <c r="G33" i="9" s="1"/>
  <c r="B56" i="9"/>
  <c r="G40" i="9"/>
  <c r="G45" i="9"/>
  <c r="G39" i="9"/>
  <c r="G44" i="9"/>
  <c r="F46" i="9"/>
  <c r="F33" i="9"/>
  <c r="G43" i="9"/>
  <c r="G41" i="9"/>
  <c r="G42" i="9"/>
  <c r="F33" i="8"/>
  <c r="E46" i="8"/>
  <c r="E53" i="8" s="1"/>
  <c r="F36" i="8"/>
  <c r="F14" i="8"/>
  <c r="G11" i="8"/>
  <c r="I22" i="8"/>
  <c r="F39" i="7"/>
  <c r="E33" i="7"/>
  <c r="F40" i="7"/>
  <c r="F44" i="7"/>
  <c r="F43" i="7"/>
  <c r="F32" i="7"/>
  <c r="G16" i="7"/>
  <c r="F42" i="7"/>
  <c r="G14" i="7"/>
  <c r="H11" i="7"/>
  <c r="F45" i="7"/>
  <c r="F36" i="7"/>
  <c r="G17" i="7"/>
  <c r="G13" i="7"/>
  <c r="H12" i="7" s="1"/>
  <c r="K22" i="7"/>
  <c r="E46" i="7"/>
  <c r="F18" i="7"/>
  <c r="F27" i="7" s="1"/>
  <c r="F41" i="7"/>
  <c r="D51" i="7"/>
  <c r="D50" i="7"/>
  <c r="C50" i="6"/>
  <c r="D49" i="3"/>
  <c r="D50" i="3" s="1"/>
  <c r="C50" i="4"/>
  <c r="D47" i="4"/>
  <c r="D49" i="6"/>
  <c r="D50" i="6" s="1"/>
  <c r="E46" i="6"/>
  <c r="G17" i="6"/>
  <c r="G30" i="6" s="1"/>
  <c r="G32" i="6" s="1"/>
  <c r="G13" i="6"/>
  <c r="H12" i="6" s="1"/>
  <c r="F43" i="6"/>
  <c r="H16" i="6"/>
  <c r="F40" i="6"/>
  <c r="F18" i="6"/>
  <c r="F27" i="6" s="1"/>
  <c r="F45" i="6"/>
  <c r="I22" i="6"/>
  <c r="F32" i="6"/>
  <c r="H11" i="6"/>
  <c r="F44" i="6"/>
  <c r="F41" i="5"/>
  <c r="E46" i="5"/>
  <c r="E47" i="5" s="1"/>
  <c r="D49" i="5"/>
  <c r="D50" i="5" s="1"/>
  <c r="F45" i="5"/>
  <c r="F40" i="5"/>
  <c r="F42" i="5"/>
  <c r="E33" i="5"/>
  <c r="G14" i="5"/>
  <c r="F44" i="5"/>
  <c r="F39" i="5"/>
  <c r="F33" i="5"/>
  <c r="G13" i="5"/>
  <c r="G36" i="5" s="1"/>
  <c r="G17" i="5"/>
  <c r="G30" i="5" s="1"/>
  <c r="F18" i="5"/>
  <c r="F27" i="5" s="1"/>
  <c r="F43" i="5"/>
  <c r="F42" i="4"/>
  <c r="F18" i="4"/>
  <c r="F27" i="4" s="1"/>
  <c r="E46" i="4"/>
  <c r="F32" i="4"/>
  <c r="G16" i="4"/>
  <c r="F39" i="4"/>
  <c r="G14" i="4"/>
  <c r="F41" i="4"/>
  <c r="F43" i="4"/>
  <c r="G17" i="4"/>
  <c r="G13" i="4"/>
  <c r="G36" i="4" s="1"/>
  <c r="F40" i="4"/>
  <c r="F45" i="4"/>
  <c r="E46" i="3"/>
  <c r="G13" i="3"/>
  <c r="G17" i="3"/>
  <c r="G18" i="3" s="1"/>
  <c r="G27" i="3" s="1"/>
  <c r="F44" i="3"/>
  <c r="F39" i="3"/>
  <c r="F41" i="3"/>
  <c r="F43" i="3"/>
  <c r="E33" i="3"/>
  <c r="F18" i="3"/>
  <c r="F27" i="3" s="1"/>
  <c r="G14" i="3"/>
  <c r="D51" i="3"/>
  <c r="D33" i="2"/>
  <c r="D49" i="2"/>
  <c r="E39" i="2"/>
  <c r="E40" i="2"/>
  <c r="E46" i="2" s="1"/>
  <c r="D46" i="2"/>
  <c r="F16" i="2"/>
  <c r="E32" i="2"/>
  <c r="F36" i="2"/>
  <c r="F14" i="2"/>
  <c r="G11" i="2"/>
  <c r="E18" i="2"/>
  <c r="E27" i="2" s="1"/>
  <c r="G22" i="2"/>
  <c r="F17" i="2"/>
  <c r="F13" i="2"/>
  <c r="G12" i="2" s="1"/>
  <c r="E41" i="2"/>
  <c r="C51" i="2"/>
  <c r="C50" i="2"/>
  <c r="E45" i="1"/>
  <c r="E43" i="1"/>
  <c r="E44" i="1"/>
  <c r="E32" i="1"/>
  <c r="F16" i="1"/>
  <c r="C47" i="1"/>
  <c r="C49" i="1"/>
  <c r="G24" i="1"/>
  <c r="E41" i="1"/>
  <c r="F14" i="1"/>
  <c r="G11" i="1"/>
  <c r="F36" i="1"/>
  <c r="F13" i="1"/>
  <c r="G12" i="1" s="1"/>
  <c r="F17" i="1"/>
  <c r="I22" i="1"/>
  <c r="E40" i="1"/>
  <c r="E18" i="1"/>
  <c r="E27" i="1" s="1"/>
  <c r="H36" i="6" l="1"/>
  <c r="G44" i="3"/>
  <c r="E46" i="1"/>
  <c r="G39" i="3"/>
  <c r="B58" i="4"/>
  <c r="G30" i="4"/>
  <c r="G18" i="7"/>
  <c r="G27" i="7" s="1"/>
  <c r="G30" i="7"/>
  <c r="G32" i="7" s="1"/>
  <c r="G30" i="3"/>
  <c r="G32" i="3" s="1"/>
  <c r="G36" i="6"/>
  <c r="G19" i="7"/>
  <c r="G14" i="6"/>
  <c r="G19" i="6" s="1"/>
  <c r="F39" i="8"/>
  <c r="F19" i="8"/>
  <c r="G19" i="3"/>
  <c r="B56" i="3" s="1"/>
  <c r="B58" i="3" s="1"/>
  <c r="F30" i="1"/>
  <c r="F41" i="2"/>
  <c r="F30" i="2"/>
  <c r="G42" i="4"/>
  <c r="D51" i="8"/>
  <c r="G19" i="4"/>
  <c r="B56" i="4" s="1"/>
  <c r="F19" i="1"/>
  <c r="G19" i="5"/>
  <c r="B56" i="5" s="1"/>
  <c r="B58" i="5" s="1"/>
  <c r="E47" i="2"/>
  <c r="E53" i="2"/>
  <c r="D47" i="2"/>
  <c r="D53" i="2"/>
  <c r="E47" i="3"/>
  <c r="E53" i="3"/>
  <c r="D51" i="4"/>
  <c r="E47" i="4"/>
  <c r="E53" i="4"/>
  <c r="E47" i="6"/>
  <c r="E53" i="6"/>
  <c r="E47" i="7"/>
  <c r="E53" i="7"/>
  <c r="F46" i="12"/>
  <c r="F47" i="12" s="1"/>
  <c r="G39" i="12"/>
  <c r="E49" i="12"/>
  <c r="G19" i="12"/>
  <c r="E51" i="9"/>
  <c r="F47" i="9"/>
  <c r="F46" i="10"/>
  <c r="F47" i="10" s="1"/>
  <c r="G43" i="10"/>
  <c r="E49" i="10"/>
  <c r="E51" i="10" s="1"/>
  <c r="F49" i="11"/>
  <c r="F51" i="11" s="1"/>
  <c r="E50" i="11"/>
  <c r="G46" i="11"/>
  <c r="G47" i="11" s="1"/>
  <c r="H17" i="12"/>
  <c r="H13" i="12"/>
  <c r="I12" i="12" s="1"/>
  <c r="G41" i="12"/>
  <c r="G40" i="12"/>
  <c r="K22" i="12"/>
  <c r="G18" i="12"/>
  <c r="G27" i="12" s="1"/>
  <c r="G43" i="12"/>
  <c r="G42" i="12"/>
  <c r="H14" i="12"/>
  <c r="H36" i="12"/>
  <c r="I11" i="12"/>
  <c r="G45" i="12"/>
  <c r="G44" i="12"/>
  <c r="G36" i="12"/>
  <c r="F33" i="12"/>
  <c r="G30" i="12"/>
  <c r="G32" i="12" s="1"/>
  <c r="H16" i="12"/>
  <c r="D49" i="1"/>
  <c r="D50" i="1" s="1"/>
  <c r="D47" i="1"/>
  <c r="E47" i="1"/>
  <c r="E53" i="1"/>
  <c r="L22" i="10"/>
  <c r="H17" i="10"/>
  <c r="H19" i="10" s="1"/>
  <c r="H13" i="10"/>
  <c r="I12" i="10" s="1"/>
  <c r="G39" i="10"/>
  <c r="G40" i="10"/>
  <c r="G41" i="10"/>
  <c r="G42" i="10"/>
  <c r="G18" i="10"/>
  <c r="G27" i="10" s="1"/>
  <c r="G45" i="10"/>
  <c r="G44" i="10"/>
  <c r="F33" i="10"/>
  <c r="H14" i="10"/>
  <c r="I11" i="10"/>
  <c r="H36" i="10"/>
  <c r="G36" i="10"/>
  <c r="H16" i="10"/>
  <c r="G30" i="10"/>
  <c r="G32" i="10" s="1"/>
  <c r="G46" i="9"/>
  <c r="F49" i="9"/>
  <c r="F50" i="9" s="1"/>
  <c r="F43" i="8"/>
  <c r="J22" i="8"/>
  <c r="G14" i="8"/>
  <c r="H11" i="8"/>
  <c r="G13" i="8"/>
  <c r="H12" i="8" s="1"/>
  <c r="G17" i="8"/>
  <c r="G30" i="8" s="1"/>
  <c r="F41" i="8"/>
  <c r="F45" i="8"/>
  <c r="F42" i="8"/>
  <c r="F40" i="8"/>
  <c r="F44" i="8"/>
  <c r="F18" i="8"/>
  <c r="F27" i="8" s="1"/>
  <c r="E47" i="8"/>
  <c r="E49" i="8"/>
  <c r="G39" i="7"/>
  <c r="G40" i="7"/>
  <c r="L22" i="7"/>
  <c r="H14" i="7"/>
  <c r="I11" i="7"/>
  <c r="G41" i="7"/>
  <c r="G43" i="7"/>
  <c r="G42" i="7"/>
  <c r="G45" i="7"/>
  <c r="G44" i="7"/>
  <c r="H16" i="7"/>
  <c r="H30" i="7" s="1"/>
  <c r="F46" i="7"/>
  <c r="F49" i="7" s="1"/>
  <c r="G36" i="7"/>
  <c r="H17" i="7"/>
  <c r="H13" i="7"/>
  <c r="I12" i="7" s="1"/>
  <c r="F33" i="7"/>
  <c r="E49" i="7"/>
  <c r="D51" i="6"/>
  <c r="E49" i="3"/>
  <c r="E51" i="3" s="1"/>
  <c r="E49" i="6"/>
  <c r="E50" i="6" s="1"/>
  <c r="F46" i="6"/>
  <c r="I11" i="6"/>
  <c r="H14" i="6"/>
  <c r="H17" i="6"/>
  <c r="H40" i="6" s="1"/>
  <c r="H13" i="6"/>
  <c r="I12" i="6" s="1"/>
  <c r="G41" i="6"/>
  <c r="F33" i="6"/>
  <c r="I16" i="6"/>
  <c r="G42" i="6"/>
  <c r="G40" i="6"/>
  <c r="G43" i="6"/>
  <c r="J22" i="6"/>
  <c r="G18" i="6"/>
  <c r="G27" i="6" s="1"/>
  <c r="G44" i="6"/>
  <c r="G45" i="6"/>
  <c r="G39" i="6"/>
  <c r="G33" i="6"/>
  <c r="G32" i="5"/>
  <c r="G45" i="5"/>
  <c r="D51" i="5"/>
  <c r="E49" i="5"/>
  <c r="E50" i="5" s="1"/>
  <c r="F46" i="5"/>
  <c r="G18" i="5"/>
  <c r="G27" i="5" s="1"/>
  <c r="G40" i="5"/>
  <c r="G39" i="5"/>
  <c r="G44" i="5"/>
  <c r="G42" i="5"/>
  <c r="G43" i="5"/>
  <c r="G41" i="5"/>
  <c r="G18" i="4"/>
  <c r="G27" i="4" s="1"/>
  <c r="F46" i="4"/>
  <c r="E49" i="4"/>
  <c r="E51" i="4" s="1"/>
  <c r="G41" i="4"/>
  <c r="F33" i="4"/>
  <c r="F49" i="4"/>
  <c r="G39" i="4"/>
  <c r="G40" i="4"/>
  <c r="G45" i="4"/>
  <c r="G43" i="4"/>
  <c r="G44" i="4"/>
  <c r="G32" i="4"/>
  <c r="F46" i="3"/>
  <c r="G41" i="3"/>
  <c r="G43" i="3"/>
  <c r="E50" i="3"/>
  <c r="G40" i="3"/>
  <c r="G45" i="3"/>
  <c r="G42" i="3"/>
  <c r="F33" i="3"/>
  <c r="G33" i="3"/>
  <c r="F40" i="2"/>
  <c r="F45" i="2"/>
  <c r="D50" i="2"/>
  <c r="D51" i="2"/>
  <c r="F18" i="2"/>
  <c r="F27" i="2" s="1"/>
  <c r="F43" i="2"/>
  <c r="F42" i="2"/>
  <c r="E49" i="2"/>
  <c r="E33" i="2"/>
  <c r="G36" i="2"/>
  <c r="G14" i="2"/>
  <c r="F32" i="2"/>
  <c r="G16" i="2"/>
  <c r="G13" i="2"/>
  <c r="G17" i="2"/>
  <c r="G39" i="2" s="1"/>
  <c r="F44" i="2"/>
  <c r="F39" i="2"/>
  <c r="F42" i="1"/>
  <c r="F44" i="1"/>
  <c r="F45" i="1"/>
  <c r="C51" i="1"/>
  <c r="C50" i="1"/>
  <c r="J22" i="1"/>
  <c r="F18" i="1"/>
  <c r="F27" i="1" s="1"/>
  <c r="F39" i="1"/>
  <c r="G36" i="1"/>
  <c r="G14" i="1"/>
  <c r="H11" i="1"/>
  <c r="F41" i="1"/>
  <c r="F32" i="1"/>
  <c r="G16" i="1"/>
  <c r="G19" i="1" s="1"/>
  <c r="G17" i="1"/>
  <c r="G39" i="1" s="1"/>
  <c r="G13" i="1"/>
  <c r="H12" i="1" s="1"/>
  <c r="F40" i="1"/>
  <c r="F43" i="1"/>
  <c r="H24" i="1"/>
  <c r="E49" i="1"/>
  <c r="E33" i="1"/>
  <c r="H30" i="6" l="1"/>
  <c r="H32" i="6" s="1"/>
  <c r="F46" i="2"/>
  <c r="F47" i="2" s="1"/>
  <c r="G32" i="2"/>
  <c r="G30" i="2"/>
  <c r="G19" i="2"/>
  <c r="B56" i="2" s="1"/>
  <c r="H19" i="7"/>
  <c r="G30" i="1"/>
  <c r="I36" i="6"/>
  <c r="G19" i="8"/>
  <c r="H19" i="6"/>
  <c r="F47" i="3"/>
  <c r="F53" i="3"/>
  <c r="F47" i="4"/>
  <c r="F53" i="4"/>
  <c r="F47" i="6"/>
  <c r="F53" i="6"/>
  <c r="F47" i="7"/>
  <c r="F53" i="7"/>
  <c r="H40" i="12"/>
  <c r="F49" i="12"/>
  <c r="F50" i="12" s="1"/>
  <c r="E50" i="12"/>
  <c r="E51" i="12"/>
  <c r="H19" i="12"/>
  <c r="H43" i="12"/>
  <c r="H39" i="12"/>
  <c r="F50" i="11"/>
  <c r="G47" i="9"/>
  <c r="F49" i="10"/>
  <c r="F51" i="10" s="1"/>
  <c r="H44" i="10"/>
  <c r="E50" i="10"/>
  <c r="G46" i="10"/>
  <c r="G47" i="10" s="1"/>
  <c r="H45" i="10"/>
  <c r="G49" i="11"/>
  <c r="G51" i="11" s="1"/>
  <c r="H51" i="11" s="1"/>
  <c r="I14" i="12"/>
  <c r="J11" i="12"/>
  <c r="L22" i="12"/>
  <c r="G46" i="12"/>
  <c r="G47" i="12" s="1"/>
  <c r="H44" i="12"/>
  <c r="I13" i="12"/>
  <c r="J12" i="12" s="1"/>
  <c r="I17" i="12"/>
  <c r="H41" i="12"/>
  <c r="H42" i="12"/>
  <c r="H18" i="12"/>
  <c r="H27" i="12" s="1"/>
  <c r="I16" i="12"/>
  <c r="H30" i="12"/>
  <c r="H32" i="12" s="1"/>
  <c r="H45" i="12"/>
  <c r="G33" i="12"/>
  <c r="D51" i="1"/>
  <c r="F46" i="1"/>
  <c r="F47" i="1" s="1"/>
  <c r="F49" i="5"/>
  <c r="F50" i="5" s="1"/>
  <c r="F53" i="5"/>
  <c r="G33" i="5"/>
  <c r="J11" i="10"/>
  <c r="I14" i="10"/>
  <c r="I13" i="10"/>
  <c r="J12" i="10" s="1"/>
  <c r="I17" i="10"/>
  <c r="H18" i="10"/>
  <c r="H27" i="10" s="1"/>
  <c r="H42" i="10"/>
  <c r="H40" i="10"/>
  <c r="H39" i="10"/>
  <c r="H43" i="10"/>
  <c r="H41" i="10"/>
  <c r="G33" i="10"/>
  <c r="I16" i="10"/>
  <c r="I19" i="10" s="1"/>
  <c r="H30" i="10"/>
  <c r="H32" i="10" s="1"/>
  <c r="F51" i="9"/>
  <c r="G49" i="9"/>
  <c r="G51" i="9" s="1"/>
  <c r="F46" i="8"/>
  <c r="G42" i="8"/>
  <c r="G41" i="8"/>
  <c r="G18" i="8"/>
  <c r="G27" i="8" s="1"/>
  <c r="E50" i="8"/>
  <c r="E51" i="8"/>
  <c r="G44" i="8"/>
  <c r="G43" i="8"/>
  <c r="K22" i="8"/>
  <c r="G36" i="8"/>
  <c r="H14" i="8"/>
  <c r="I11" i="8"/>
  <c r="G45" i="8"/>
  <c r="G32" i="8"/>
  <c r="H16" i="8"/>
  <c r="H19" i="8" s="1"/>
  <c r="G40" i="8"/>
  <c r="G39" i="8"/>
  <c r="H17" i="8"/>
  <c r="H13" i="8"/>
  <c r="I12" i="8" s="1"/>
  <c r="H39" i="7"/>
  <c r="I16" i="7"/>
  <c r="H32" i="7"/>
  <c r="I17" i="7"/>
  <c r="I45" i="7" s="1"/>
  <c r="I13" i="7"/>
  <c r="J12" i="7" s="1"/>
  <c r="H43" i="7"/>
  <c r="E50" i="7"/>
  <c r="E51" i="7"/>
  <c r="G33" i="7"/>
  <c r="H18" i="7"/>
  <c r="H27" i="7" s="1"/>
  <c r="H41" i="7"/>
  <c r="H36" i="7"/>
  <c r="F50" i="7"/>
  <c r="F51" i="7"/>
  <c r="G46" i="7"/>
  <c r="H45" i="7"/>
  <c r="H40" i="7"/>
  <c r="J11" i="7"/>
  <c r="I40" i="7"/>
  <c r="I14" i="7"/>
  <c r="H42" i="7"/>
  <c r="H44" i="7"/>
  <c r="F49" i="6"/>
  <c r="F50" i="6" s="1"/>
  <c r="E51" i="6"/>
  <c r="G46" i="6"/>
  <c r="H45" i="6"/>
  <c r="H42" i="6"/>
  <c r="H39" i="6"/>
  <c r="I14" i="6"/>
  <c r="J11" i="6"/>
  <c r="H44" i="6"/>
  <c r="K22" i="6"/>
  <c r="I13" i="6"/>
  <c r="J12" i="6" s="1"/>
  <c r="I17" i="6"/>
  <c r="I39" i="6" s="1"/>
  <c r="H43" i="6"/>
  <c r="H41" i="6"/>
  <c r="H18" i="6"/>
  <c r="H27" i="6" s="1"/>
  <c r="F47" i="5"/>
  <c r="E51" i="5"/>
  <c r="G46" i="5"/>
  <c r="G49" i="5" s="1"/>
  <c r="F51" i="5"/>
  <c r="E50" i="4"/>
  <c r="G46" i="4"/>
  <c r="F51" i="4"/>
  <c r="F50" i="4"/>
  <c r="G33" i="4"/>
  <c r="F49" i="3"/>
  <c r="F50" i="3" s="1"/>
  <c r="G46" i="3"/>
  <c r="G33" i="2"/>
  <c r="G18" i="2"/>
  <c r="G27" i="2" s="1"/>
  <c r="G42" i="2"/>
  <c r="F33" i="2"/>
  <c r="B58" i="2"/>
  <c r="G40" i="2"/>
  <c r="E51" i="2"/>
  <c r="E50" i="2"/>
  <c r="G41" i="2"/>
  <c r="G43" i="2"/>
  <c r="G44" i="2"/>
  <c r="G45" i="2"/>
  <c r="H36" i="1"/>
  <c r="I11" i="1"/>
  <c r="H14" i="1"/>
  <c r="G42" i="1"/>
  <c r="G45" i="1"/>
  <c r="I24" i="1"/>
  <c r="G18" i="1"/>
  <c r="G27" i="1" s="1"/>
  <c r="H16" i="1"/>
  <c r="G32" i="1"/>
  <c r="G44" i="1"/>
  <c r="H13" i="1"/>
  <c r="I12" i="1" s="1"/>
  <c r="H17" i="1"/>
  <c r="H39" i="1" s="1"/>
  <c r="G41" i="1"/>
  <c r="K22" i="1"/>
  <c r="E50" i="1"/>
  <c r="E51" i="1"/>
  <c r="F33" i="1"/>
  <c r="G40" i="1"/>
  <c r="G43" i="1"/>
  <c r="H30" i="1" l="1"/>
  <c r="J19" i="6"/>
  <c r="F53" i="2"/>
  <c r="H53" i="2" s="1"/>
  <c r="I19" i="7"/>
  <c r="F49" i="2"/>
  <c r="I43" i="7"/>
  <c r="G46" i="2"/>
  <c r="G53" i="2" s="1"/>
  <c r="I41" i="7"/>
  <c r="I30" i="7"/>
  <c r="I32" i="7" s="1"/>
  <c r="I19" i="6"/>
  <c r="I30" i="6"/>
  <c r="H19" i="1"/>
  <c r="G49" i="3"/>
  <c r="G51" i="3" s="1"/>
  <c r="G53" i="3"/>
  <c r="H53" i="3" s="1"/>
  <c r="G47" i="3"/>
  <c r="G47" i="4"/>
  <c r="G53" i="4"/>
  <c r="H53" i="4" s="1"/>
  <c r="H53" i="5"/>
  <c r="G47" i="6"/>
  <c r="G53" i="6"/>
  <c r="G49" i="6"/>
  <c r="G50" i="6" s="1"/>
  <c r="G47" i="7"/>
  <c r="G53" i="7"/>
  <c r="F47" i="8"/>
  <c r="F53" i="8"/>
  <c r="F51" i="12"/>
  <c r="H46" i="12"/>
  <c r="H47" i="12" s="1"/>
  <c r="I19" i="12"/>
  <c r="I39" i="12"/>
  <c r="F50" i="10"/>
  <c r="H46" i="10"/>
  <c r="H47" i="10" s="1"/>
  <c r="G49" i="10"/>
  <c r="G51" i="10" s="1"/>
  <c r="I39" i="10"/>
  <c r="G50" i="11"/>
  <c r="I30" i="12"/>
  <c r="I32" i="12" s="1"/>
  <c r="J16" i="12"/>
  <c r="I18" i="12"/>
  <c r="I27" i="12" s="1"/>
  <c r="I40" i="12"/>
  <c r="I41" i="12"/>
  <c r="I42" i="12"/>
  <c r="I43" i="12"/>
  <c r="G49" i="12"/>
  <c r="J17" i="12"/>
  <c r="J13" i="12"/>
  <c r="K12" i="12" s="1"/>
  <c r="I44" i="12"/>
  <c r="I45" i="12"/>
  <c r="H49" i="12"/>
  <c r="H33" i="12"/>
  <c r="J14" i="12"/>
  <c r="K11" i="12"/>
  <c r="I36" i="12"/>
  <c r="F49" i="1"/>
  <c r="F51" i="1" s="1"/>
  <c r="F53" i="1"/>
  <c r="G46" i="1"/>
  <c r="G47" i="1" s="1"/>
  <c r="G53" i="5"/>
  <c r="J17" i="10"/>
  <c r="J13" i="10"/>
  <c r="K12" i="10" s="1"/>
  <c r="I44" i="10"/>
  <c r="I43" i="10"/>
  <c r="J14" i="10"/>
  <c r="J36" i="10"/>
  <c r="K11" i="10"/>
  <c r="I45" i="10"/>
  <c r="I30" i="10"/>
  <c r="I32" i="10" s="1"/>
  <c r="J16" i="10"/>
  <c r="J19" i="10" s="1"/>
  <c r="I18" i="10"/>
  <c r="I27" i="10" s="1"/>
  <c r="I40" i="10"/>
  <c r="I36" i="10"/>
  <c r="I42" i="10"/>
  <c r="I41" i="10"/>
  <c r="H33" i="10"/>
  <c r="H51" i="9"/>
  <c r="G50" i="9"/>
  <c r="H30" i="8"/>
  <c r="H32" i="8" s="1"/>
  <c r="H36" i="8"/>
  <c r="H43" i="8"/>
  <c r="F49" i="8"/>
  <c r="F51" i="8" s="1"/>
  <c r="H39" i="8"/>
  <c r="I16" i="8"/>
  <c r="H45" i="8"/>
  <c r="I14" i="8"/>
  <c r="I19" i="8" s="1"/>
  <c r="J11" i="8"/>
  <c r="H40" i="8"/>
  <c r="L22" i="8"/>
  <c r="G33" i="8"/>
  <c r="I17" i="8"/>
  <c r="I13" i="8"/>
  <c r="J12" i="8" s="1"/>
  <c r="H42" i="8"/>
  <c r="H41" i="8"/>
  <c r="H18" i="8"/>
  <c r="H27" i="8" s="1"/>
  <c r="H44" i="8"/>
  <c r="G46" i="8"/>
  <c r="I42" i="7"/>
  <c r="I18" i="7"/>
  <c r="I27" i="7" s="1"/>
  <c r="K11" i="7"/>
  <c r="J14" i="7"/>
  <c r="J36" i="7"/>
  <c r="H46" i="7"/>
  <c r="G49" i="7"/>
  <c r="I36" i="7"/>
  <c r="I39" i="7"/>
  <c r="J17" i="7"/>
  <c r="J13" i="7"/>
  <c r="K12" i="7" s="1"/>
  <c r="I44" i="7"/>
  <c r="H33" i="7"/>
  <c r="J16" i="7"/>
  <c r="J30" i="7" s="1"/>
  <c r="F51" i="6"/>
  <c r="H46" i="6"/>
  <c r="I43" i="6"/>
  <c r="I40" i="6"/>
  <c r="I18" i="6"/>
  <c r="I27" i="6" s="1"/>
  <c r="G51" i="6"/>
  <c r="I32" i="6"/>
  <c r="H33" i="6"/>
  <c r="I41" i="6"/>
  <c r="I45" i="6"/>
  <c r="I42" i="6"/>
  <c r="J16" i="6"/>
  <c r="J14" i="6"/>
  <c r="K11" i="6"/>
  <c r="I44" i="6"/>
  <c r="L22" i="6"/>
  <c r="J17" i="6"/>
  <c r="J13" i="6"/>
  <c r="K12" i="6" s="1"/>
  <c r="G47" i="5"/>
  <c r="G51" i="5"/>
  <c r="H51" i="5" s="1"/>
  <c r="G50" i="5"/>
  <c r="G49" i="4"/>
  <c r="G50" i="4" s="1"/>
  <c r="F51" i="3"/>
  <c r="G47" i="2"/>
  <c r="G49" i="2"/>
  <c r="F50" i="2"/>
  <c r="F51" i="2"/>
  <c r="H43" i="1"/>
  <c r="H42" i="1"/>
  <c r="L22" i="1"/>
  <c r="H45" i="1"/>
  <c r="I14" i="1"/>
  <c r="I36" i="1"/>
  <c r="J11" i="1"/>
  <c r="H44" i="1"/>
  <c r="G33" i="1"/>
  <c r="H18" i="1"/>
  <c r="H27" i="1" s="1"/>
  <c r="I17" i="1"/>
  <c r="I39" i="1" s="1"/>
  <c r="I13" i="1"/>
  <c r="J12" i="1" s="1"/>
  <c r="I16" i="1"/>
  <c r="H32" i="1"/>
  <c r="J24" i="1"/>
  <c r="H41" i="1"/>
  <c r="H40" i="1"/>
  <c r="I43" i="1" l="1"/>
  <c r="I44" i="1"/>
  <c r="I19" i="1"/>
  <c r="K19" i="6"/>
  <c r="K36" i="6"/>
  <c r="H46" i="1"/>
  <c r="I42" i="1"/>
  <c r="I30" i="1"/>
  <c r="I32" i="1" s="1"/>
  <c r="I45" i="1"/>
  <c r="G50" i="3"/>
  <c r="J19" i="7"/>
  <c r="J30" i="6"/>
  <c r="J32" i="6" s="1"/>
  <c r="K19" i="7"/>
  <c r="J36" i="6"/>
  <c r="G49" i="1"/>
  <c r="G50" i="1" s="1"/>
  <c r="G53" i="1"/>
  <c r="F50" i="1"/>
  <c r="H47" i="6"/>
  <c r="H53" i="6"/>
  <c r="H47" i="7"/>
  <c r="H53" i="7"/>
  <c r="H49" i="7"/>
  <c r="G47" i="8"/>
  <c r="G53" i="8"/>
  <c r="J19" i="12"/>
  <c r="J44" i="12"/>
  <c r="J42" i="12"/>
  <c r="J36" i="12"/>
  <c r="H49" i="10"/>
  <c r="H51" i="10" s="1"/>
  <c r="G50" i="10"/>
  <c r="L11" i="12"/>
  <c r="K14" i="12"/>
  <c r="K17" i="12"/>
  <c r="K13" i="12"/>
  <c r="L12" i="12" s="1"/>
  <c r="I46" i="12"/>
  <c r="I47" i="12" s="1"/>
  <c r="J39" i="12"/>
  <c r="J18" i="12"/>
  <c r="J27" i="12" s="1"/>
  <c r="G51" i="12"/>
  <c r="G50" i="12"/>
  <c r="J41" i="12"/>
  <c r="J43" i="12"/>
  <c r="K16" i="12"/>
  <c r="J30" i="12"/>
  <c r="J32" i="12" s="1"/>
  <c r="J45" i="12"/>
  <c r="J40" i="12"/>
  <c r="H51" i="12"/>
  <c r="H50" i="12"/>
  <c r="I33" i="12"/>
  <c r="H47" i="1"/>
  <c r="H53" i="1"/>
  <c r="K16" i="10"/>
  <c r="J30" i="10"/>
  <c r="J32" i="10" s="1"/>
  <c r="J44" i="10"/>
  <c r="I33" i="10"/>
  <c r="J42" i="10"/>
  <c r="K17" i="10"/>
  <c r="K13" i="10"/>
  <c r="L12" i="10" s="1"/>
  <c r="J40" i="10"/>
  <c r="J43" i="10"/>
  <c r="J18" i="10"/>
  <c r="J27" i="10" s="1"/>
  <c r="K14" i="10"/>
  <c r="L11" i="10"/>
  <c r="J45" i="10"/>
  <c r="J41" i="10"/>
  <c r="I46" i="10"/>
  <c r="I47" i="10" s="1"/>
  <c r="J39" i="10"/>
  <c r="I30" i="8"/>
  <c r="F50" i="8"/>
  <c r="H46" i="8"/>
  <c r="G49" i="8"/>
  <c r="G51" i="8" s="1"/>
  <c r="I44" i="8"/>
  <c r="K11" i="8"/>
  <c r="J14" i="8"/>
  <c r="I41" i="8"/>
  <c r="I40" i="8"/>
  <c r="I18" i="8"/>
  <c r="I27" i="8" s="1"/>
  <c r="I43" i="8"/>
  <c r="I42" i="8"/>
  <c r="H33" i="8"/>
  <c r="I39" i="8"/>
  <c r="I45" i="8"/>
  <c r="J16" i="8"/>
  <c r="I32" i="8"/>
  <c r="J17" i="8"/>
  <c r="J13" i="8"/>
  <c r="K12" i="8" s="1"/>
  <c r="I36" i="8"/>
  <c r="J39" i="7"/>
  <c r="I46" i="7"/>
  <c r="J40" i="7"/>
  <c r="J18" i="7"/>
  <c r="J27" i="7" s="1"/>
  <c r="J41" i="7"/>
  <c r="G51" i="7"/>
  <c r="G50" i="7"/>
  <c r="J42" i="7"/>
  <c r="J43" i="7"/>
  <c r="I33" i="7"/>
  <c r="J44" i="7"/>
  <c r="K14" i="7"/>
  <c r="L11" i="7"/>
  <c r="J45" i="7"/>
  <c r="J32" i="7"/>
  <c r="K16" i="7"/>
  <c r="K17" i="7"/>
  <c r="K13" i="7"/>
  <c r="L12" i="7" s="1"/>
  <c r="H51" i="7"/>
  <c r="H50" i="7"/>
  <c r="J41" i="6"/>
  <c r="H49" i="6"/>
  <c r="H51" i="6" s="1"/>
  <c r="I46" i="6"/>
  <c r="K17" i="6"/>
  <c r="K13" i="6"/>
  <c r="L12" i="6" s="1"/>
  <c r="J43" i="6"/>
  <c r="L11" i="6"/>
  <c r="K14" i="6"/>
  <c r="J18" i="6"/>
  <c r="J27" i="6" s="1"/>
  <c r="J45" i="6"/>
  <c r="I33" i="6"/>
  <c r="J40" i="6"/>
  <c r="J42" i="6"/>
  <c r="J39" i="6"/>
  <c r="J44" i="6"/>
  <c r="K16" i="6"/>
  <c r="G51" i="4"/>
  <c r="H51" i="4" s="1"/>
  <c r="H51" i="3"/>
  <c r="G51" i="2"/>
  <c r="H51" i="2" s="1"/>
  <c r="G50" i="2"/>
  <c r="H49" i="1"/>
  <c r="H33" i="1"/>
  <c r="K11" i="1"/>
  <c r="J14" i="1"/>
  <c r="J36" i="1"/>
  <c r="I40" i="1"/>
  <c r="I18" i="1"/>
  <c r="I27" i="1" s="1"/>
  <c r="K24" i="1"/>
  <c r="I41" i="1"/>
  <c r="J16" i="1"/>
  <c r="G51" i="1"/>
  <c r="J17" i="1"/>
  <c r="J39" i="1" s="1"/>
  <c r="J13" i="1"/>
  <c r="K12" i="1" s="1"/>
  <c r="K19" i="10" l="1"/>
  <c r="J19" i="8"/>
  <c r="J30" i="1"/>
  <c r="K39" i="6"/>
  <c r="K30" i="6"/>
  <c r="K32" i="6" s="1"/>
  <c r="J19" i="1"/>
  <c r="J41" i="1"/>
  <c r="K30" i="7"/>
  <c r="I47" i="6"/>
  <c r="I53" i="6"/>
  <c r="I47" i="7"/>
  <c r="I53" i="7"/>
  <c r="H47" i="8"/>
  <c r="H53" i="8"/>
  <c r="K19" i="12"/>
  <c r="I49" i="12"/>
  <c r="I50" i="12" s="1"/>
  <c r="J46" i="12"/>
  <c r="J47" i="12" s="1"/>
  <c r="K44" i="12"/>
  <c r="H50" i="10"/>
  <c r="J46" i="10"/>
  <c r="J47" i="10" s="1"/>
  <c r="K40" i="10"/>
  <c r="K43" i="12"/>
  <c r="K42" i="12"/>
  <c r="J33" i="12"/>
  <c r="L17" i="12"/>
  <c r="L13" i="12"/>
  <c r="K39" i="12"/>
  <c r="K36" i="12"/>
  <c r="K30" i="12"/>
  <c r="K32" i="12" s="1"/>
  <c r="L16" i="12"/>
  <c r="K18" i="12"/>
  <c r="K27" i="12" s="1"/>
  <c r="K41" i="12"/>
  <c r="K40" i="12"/>
  <c r="L14" i="12"/>
  <c r="K45" i="12"/>
  <c r="I46" i="1"/>
  <c r="I49" i="1" s="1"/>
  <c r="K39" i="10"/>
  <c r="J33" i="10"/>
  <c r="K41" i="10"/>
  <c r="K43" i="10"/>
  <c r="K30" i="10"/>
  <c r="K32" i="10" s="1"/>
  <c r="L16" i="10"/>
  <c r="L19" i="10" s="1"/>
  <c r="K18" i="10"/>
  <c r="K27" i="10" s="1"/>
  <c r="K45" i="10"/>
  <c r="K44" i="10"/>
  <c r="L14" i="10"/>
  <c r="K36" i="10"/>
  <c r="I49" i="10"/>
  <c r="L17" i="10"/>
  <c r="L13" i="10"/>
  <c r="K42" i="10"/>
  <c r="J30" i="8"/>
  <c r="J32" i="8" s="1"/>
  <c r="H49" i="8"/>
  <c r="H50" i="8" s="1"/>
  <c r="G50" i="8"/>
  <c r="J39" i="8"/>
  <c r="J36" i="8"/>
  <c r="J43" i="8"/>
  <c r="J40" i="8"/>
  <c r="K14" i="8"/>
  <c r="L11" i="8"/>
  <c r="J45" i="8"/>
  <c r="I33" i="8"/>
  <c r="J42" i="8"/>
  <c r="J44" i="8"/>
  <c r="I46" i="8"/>
  <c r="K16" i="8"/>
  <c r="K19" i="8" s="1"/>
  <c r="J18" i="8"/>
  <c r="J27" i="8" s="1"/>
  <c r="K13" i="8"/>
  <c r="L12" i="8" s="1"/>
  <c r="K17" i="8"/>
  <c r="J41" i="8"/>
  <c r="K42" i="7"/>
  <c r="I49" i="7"/>
  <c r="I51" i="7" s="1"/>
  <c r="J46" i="7"/>
  <c r="J33" i="7"/>
  <c r="K41" i="7"/>
  <c r="K36" i="7"/>
  <c r="K45" i="7"/>
  <c r="K40" i="7"/>
  <c r="K18" i="7"/>
  <c r="K27" i="7" s="1"/>
  <c r="L14" i="7"/>
  <c r="K39" i="7"/>
  <c r="K32" i="7"/>
  <c r="L16" i="7"/>
  <c r="K43" i="7"/>
  <c r="K44" i="7"/>
  <c r="L17" i="7"/>
  <c r="L13" i="7"/>
  <c r="L36" i="7" s="1"/>
  <c r="J46" i="6"/>
  <c r="K40" i="6"/>
  <c r="K45" i="6"/>
  <c r="K42" i="6"/>
  <c r="H50" i="6"/>
  <c r="I49" i="6"/>
  <c r="I50" i="6" s="1"/>
  <c r="L17" i="6"/>
  <c r="L13" i="6"/>
  <c r="L36" i="6" s="1"/>
  <c r="K44" i="6"/>
  <c r="K41" i="6"/>
  <c r="L16" i="6"/>
  <c r="K18" i="6"/>
  <c r="K27" i="6" s="1"/>
  <c r="L14" i="6"/>
  <c r="K43" i="6"/>
  <c r="J33" i="6"/>
  <c r="L24" i="1"/>
  <c r="H51" i="1"/>
  <c r="H50" i="1"/>
  <c r="J40" i="1"/>
  <c r="J32" i="1"/>
  <c r="K16" i="1"/>
  <c r="K30" i="1" s="1"/>
  <c r="K17" i="1"/>
  <c r="K13" i="1"/>
  <c r="L12" i="1" s="1"/>
  <c r="J42" i="1"/>
  <c r="J45" i="1"/>
  <c r="I33" i="1"/>
  <c r="J44" i="1"/>
  <c r="J18" i="1"/>
  <c r="J27" i="1" s="1"/>
  <c r="K45" i="1"/>
  <c r="K36" i="1"/>
  <c r="K14" i="1"/>
  <c r="K18" i="1" s="1"/>
  <c r="K27" i="1" s="1"/>
  <c r="L11" i="1"/>
  <c r="J43" i="1"/>
  <c r="J46" i="1" l="1"/>
  <c r="B58" i="7"/>
  <c r="L30" i="7"/>
  <c r="L32" i="7" s="1"/>
  <c r="K19" i="1"/>
  <c r="K41" i="1"/>
  <c r="L32" i="6"/>
  <c r="L33" i="6" s="1"/>
  <c r="L30" i="6"/>
  <c r="L19" i="7"/>
  <c r="B56" i="7" s="1"/>
  <c r="L19" i="6"/>
  <c r="B56" i="6" s="1"/>
  <c r="J47" i="6"/>
  <c r="J53" i="6"/>
  <c r="J47" i="7"/>
  <c r="J53" i="7"/>
  <c r="I50" i="7"/>
  <c r="I47" i="8"/>
  <c r="I53" i="8"/>
  <c r="I51" i="12"/>
  <c r="L30" i="12"/>
  <c r="L32" i="12" s="1"/>
  <c r="L33" i="12" s="1"/>
  <c r="J49" i="12"/>
  <c r="J50" i="12" s="1"/>
  <c r="L39" i="12"/>
  <c r="L40" i="12"/>
  <c r="L41" i="12"/>
  <c r="L18" i="12"/>
  <c r="L27" i="12" s="1"/>
  <c r="L36" i="12"/>
  <c r="L19" i="12"/>
  <c r="B54" i="12" s="1"/>
  <c r="B56" i="12" s="1"/>
  <c r="B54" i="10"/>
  <c r="B56" i="10" s="1"/>
  <c r="L40" i="10"/>
  <c r="J49" i="10"/>
  <c r="J51" i="10" s="1"/>
  <c r="L42" i="12"/>
  <c r="L44" i="12"/>
  <c r="K46" i="12"/>
  <c r="K47" i="12" s="1"/>
  <c r="L43" i="12"/>
  <c r="L45" i="12"/>
  <c r="K33" i="12"/>
  <c r="J47" i="1"/>
  <c r="J53" i="1"/>
  <c r="I47" i="1"/>
  <c r="I53" i="1"/>
  <c r="L41" i="10"/>
  <c r="L39" i="10"/>
  <c r="K33" i="10"/>
  <c r="L44" i="10"/>
  <c r="L45" i="10"/>
  <c r="L42" i="10"/>
  <c r="I50" i="10"/>
  <c r="I51" i="10"/>
  <c r="L18" i="10"/>
  <c r="L27" i="10" s="1"/>
  <c r="L43" i="10"/>
  <c r="K46" i="10"/>
  <c r="K47" i="10" s="1"/>
  <c r="L36" i="10"/>
  <c r="L30" i="10"/>
  <c r="L32" i="10" s="1"/>
  <c r="H51" i="8"/>
  <c r="K30" i="8"/>
  <c r="K32" i="8" s="1"/>
  <c r="K39" i="8"/>
  <c r="K42" i="8"/>
  <c r="K41" i="8"/>
  <c r="K18" i="8"/>
  <c r="K27" i="8" s="1"/>
  <c r="J46" i="8"/>
  <c r="L16" i="8"/>
  <c r="L19" i="8" s="1"/>
  <c r="K44" i="8"/>
  <c r="K43" i="8"/>
  <c r="J33" i="8"/>
  <c r="K36" i="8"/>
  <c r="L14" i="8"/>
  <c r="K45" i="8"/>
  <c r="I49" i="8"/>
  <c r="K40" i="8"/>
  <c r="L13" i="8"/>
  <c r="L17" i="8"/>
  <c r="J49" i="7"/>
  <c r="J50" i="7" s="1"/>
  <c r="L39" i="7"/>
  <c r="L43" i="7"/>
  <c r="L18" i="7"/>
  <c r="L27" i="7" s="1"/>
  <c r="L40" i="7"/>
  <c r="L41" i="7"/>
  <c r="L42" i="7"/>
  <c r="K33" i="7"/>
  <c r="L45" i="7"/>
  <c r="L44" i="7"/>
  <c r="K46" i="7"/>
  <c r="J49" i="6"/>
  <c r="J51" i="6" s="1"/>
  <c r="K46" i="6"/>
  <c r="I51" i="6"/>
  <c r="L39" i="6"/>
  <c r="L45" i="6"/>
  <c r="L18" i="6"/>
  <c r="L27" i="6" s="1"/>
  <c r="L40" i="6"/>
  <c r="J50" i="6"/>
  <c r="L41" i="6"/>
  <c r="L42" i="6"/>
  <c r="L43" i="6"/>
  <c r="B58" i="6"/>
  <c r="L44" i="6"/>
  <c r="K33" i="6"/>
  <c r="K39" i="1"/>
  <c r="I50" i="1"/>
  <c r="I51" i="1"/>
  <c r="L36" i="1"/>
  <c r="L14" i="1"/>
  <c r="K40" i="1"/>
  <c r="L16" i="1"/>
  <c r="K32" i="1"/>
  <c r="L13" i="1"/>
  <c r="L17" i="1"/>
  <c r="L39" i="1" s="1"/>
  <c r="K44" i="1"/>
  <c r="K43" i="1"/>
  <c r="J33" i="1"/>
  <c r="J49" i="1"/>
  <c r="K42" i="1"/>
  <c r="L30" i="1" l="1"/>
  <c r="L32" i="1" s="1"/>
  <c r="L19" i="1"/>
  <c r="B56" i="1" s="1"/>
  <c r="B58" i="1" s="1"/>
  <c r="K47" i="6"/>
  <c r="K53" i="6"/>
  <c r="J50" i="10"/>
  <c r="K47" i="7"/>
  <c r="K53" i="7"/>
  <c r="J47" i="8"/>
  <c r="J53" i="8"/>
  <c r="J51" i="12"/>
  <c r="L46" i="12"/>
  <c r="L47" i="12" s="1"/>
  <c r="K49" i="12"/>
  <c r="K50" i="12" s="1"/>
  <c r="K46" i="1"/>
  <c r="K47" i="1" s="1"/>
  <c r="L33" i="10"/>
  <c r="L46" i="10"/>
  <c r="L47" i="10" s="1"/>
  <c r="K49" i="10"/>
  <c r="L41" i="8"/>
  <c r="L45" i="8"/>
  <c r="J49" i="8"/>
  <c r="J50" i="8" s="1"/>
  <c r="L30" i="8"/>
  <c r="L32" i="8" s="1"/>
  <c r="L33" i="8" s="1"/>
  <c r="L43" i="8"/>
  <c r="L40" i="8"/>
  <c r="L42" i="8"/>
  <c r="I51" i="8"/>
  <c r="I50" i="8"/>
  <c r="L18" i="8"/>
  <c r="L27" i="8" s="1"/>
  <c r="L36" i="8"/>
  <c r="K46" i="8"/>
  <c r="L39" i="8"/>
  <c r="L44" i="8"/>
  <c r="K33" i="8"/>
  <c r="J51" i="7"/>
  <c r="L46" i="7"/>
  <c r="K49" i="7"/>
  <c r="L33" i="7"/>
  <c r="K49" i="6"/>
  <c r="K50" i="6" s="1"/>
  <c r="L46" i="6"/>
  <c r="L18" i="1"/>
  <c r="L27" i="1" s="1"/>
  <c r="L40" i="1"/>
  <c r="K33" i="1"/>
  <c r="L43" i="1"/>
  <c r="L41" i="1"/>
  <c r="L42" i="1"/>
  <c r="L45" i="1"/>
  <c r="L44" i="1"/>
  <c r="J50" i="1"/>
  <c r="J51" i="1"/>
  <c r="L47" i="6" l="1"/>
  <c r="L53" i="6"/>
  <c r="M53" i="6" s="1"/>
  <c r="L47" i="7"/>
  <c r="L53" i="7"/>
  <c r="M53" i="7" s="1"/>
  <c r="K47" i="8"/>
  <c r="K53" i="8"/>
  <c r="K51" i="12"/>
  <c r="L49" i="12"/>
  <c r="L51" i="12" s="1"/>
  <c r="L49" i="10"/>
  <c r="L50" i="10" s="1"/>
  <c r="K49" i="1"/>
  <c r="K51" i="1" s="1"/>
  <c r="K53" i="1"/>
  <c r="L46" i="1"/>
  <c r="L47" i="1" s="1"/>
  <c r="L53" i="1"/>
  <c r="B56" i="8"/>
  <c r="B58" i="8" s="1"/>
  <c r="K51" i="10"/>
  <c r="K50" i="10"/>
  <c r="J51" i="8"/>
  <c r="L46" i="8"/>
  <c r="L53" i="8" s="1"/>
  <c r="M53" i="8" s="1"/>
  <c r="K49" i="8"/>
  <c r="L49" i="7"/>
  <c r="L51" i="7" s="1"/>
  <c r="K51" i="7"/>
  <c r="K50" i="7"/>
  <c r="K51" i="6"/>
  <c r="L49" i="6"/>
  <c r="L51" i="6" s="1"/>
  <c r="L49" i="1"/>
  <c r="L33" i="1"/>
  <c r="M51" i="12" l="1"/>
  <c r="L50" i="12"/>
  <c r="L51" i="10"/>
  <c r="M51" i="10" s="1"/>
  <c r="M53" i="1"/>
  <c r="K50" i="1"/>
  <c r="L47" i="8"/>
  <c r="L49" i="8"/>
  <c r="K51" i="8"/>
  <c r="K50" i="8"/>
  <c r="L50" i="7"/>
  <c r="M51" i="7"/>
  <c r="M51" i="6"/>
  <c r="L50" i="6"/>
  <c r="L51" i="1"/>
  <c r="M51" i="1" s="1"/>
  <c r="L50" i="1"/>
  <c r="L51" i="8" l="1"/>
  <c r="M51" i="8" s="1"/>
  <c r="L50" i="8"/>
</calcChain>
</file>

<file path=xl/sharedStrings.xml><?xml version="1.0" encoding="utf-8"?>
<sst xmlns="http://schemas.openxmlformats.org/spreadsheetml/2006/main" count="794" uniqueCount="90">
  <si>
    <t>Elk Financials 10 year Plan</t>
  </si>
  <si>
    <t>Operator's Assumptions:</t>
  </si>
  <si>
    <t xml:space="preserve">Yr 1 purchase 10 bred cows- 2000, 10 bulls-2500, </t>
  </si>
  <si>
    <t>Financial Projections for -------------- Farm</t>
  </si>
  <si>
    <t>10 Bulls= 3 spikes, 3 2yo, 3 3yo, 1 4yo</t>
  </si>
  <si>
    <t>velvet= 2yo-10#, 3yo-14#</t>
  </si>
  <si>
    <t>$ USD</t>
  </si>
  <si>
    <t>Assuming veg 180 days @ no cost</t>
  </si>
  <si>
    <t>Fencing 40 acres @$5/ft</t>
  </si>
  <si>
    <t>INVESTMENT (TOTAL)</t>
  </si>
  <si>
    <t>FACILITIES:</t>
  </si>
  <si>
    <t>FENCES:</t>
  </si>
  <si>
    <t>ELK:</t>
  </si>
  <si>
    <t>mat cows wean 85%</t>
  </si>
  <si>
    <t>Heifers wean 50%</t>
  </si>
  <si>
    <t>Input your numbers in yellow</t>
  </si>
  <si>
    <t>INVENTORY</t>
  </si>
  <si>
    <t>Year</t>
  </si>
  <si>
    <t xml:space="preserve">Cows </t>
  </si>
  <si>
    <t>First Calf heifers</t>
  </si>
  <si>
    <t>Yearling heifers</t>
  </si>
  <si>
    <t>Weaned calves</t>
  </si>
  <si>
    <t>Weaning %</t>
  </si>
  <si>
    <t>Bulls</t>
  </si>
  <si>
    <t>Yearling bulls</t>
  </si>
  <si>
    <t>Total farm population</t>
  </si>
  <si>
    <t>Value of Livestock</t>
  </si>
  <si>
    <t>SALES</t>
  </si>
  <si>
    <t>Calves</t>
  </si>
  <si>
    <t>$ /calf</t>
  </si>
  <si>
    <t>Cull Bulls</t>
  </si>
  <si>
    <t xml:space="preserve">$ / Bull </t>
  </si>
  <si>
    <t xml:space="preserve">Sell cows </t>
  </si>
  <si>
    <t>$ / cow</t>
  </si>
  <si>
    <t>Deaths (2% / yr)</t>
  </si>
  <si>
    <t>Trophy Bulls</t>
  </si>
  <si>
    <t>$ / bull</t>
  </si>
  <si>
    <t>Antler (lbs)</t>
  </si>
  <si>
    <t xml:space="preserve"> $ / lb</t>
  </si>
  <si>
    <t>INCOME</t>
  </si>
  <si>
    <t>Income ($/adult)</t>
  </si>
  <si>
    <t>EXPENSES</t>
  </si>
  <si>
    <t>Breeder Bulls</t>
  </si>
  <si>
    <t>Fence repair (%/yr)</t>
  </si>
  <si>
    <t>Facilities repair. (%/yr)</t>
  </si>
  <si>
    <t>Hay ($/T)</t>
  </si>
  <si>
    <t>Grain  ($/T)</t>
  </si>
  <si>
    <t>cows-3lb/hd/day  bulls-5lb/hd/day</t>
  </si>
  <si>
    <t>Supplement ($/T)</t>
  </si>
  <si>
    <t>1/2lb/hd/day</t>
  </si>
  <si>
    <t>Veterinary ($/elk)</t>
  </si>
  <si>
    <t>Utilities ($/elk)</t>
  </si>
  <si>
    <t>Fuel &amp; Machinery ($/elk)</t>
  </si>
  <si>
    <t>Labor($/elk)</t>
  </si>
  <si>
    <t>COSTS</t>
  </si>
  <si>
    <t>Cost/animal</t>
  </si>
  <si>
    <t>NET MARGIN</t>
  </si>
  <si>
    <t>Net /adult</t>
  </si>
  <si>
    <t>% RETURN</t>
  </si>
  <si>
    <t>Still have:</t>
  </si>
  <si>
    <t>Value of animals</t>
  </si>
  <si>
    <t>Value of Fence and Facilities</t>
  </si>
  <si>
    <t>Total:</t>
  </si>
  <si>
    <t>Elk Financials 5 Year Starter</t>
  </si>
  <si>
    <t>Consumer Assumptions</t>
  </si>
  <si>
    <t>velvet= 1yo-4#, 2+ yo ave-15#</t>
  </si>
  <si>
    <t>Year 1</t>
  </si>
  <si>
    <t>Year 2</t>
  </si>
  <si>
    <t>Year 3</t>
  </si>
  <si>
    <t>Year 4</t>
  </si>
  <si>
    <t>Year 5</t>
  </si>
  <si>
    <t>Grain ($/T)</t>
  </si>
  <si>
    <t>1/2#/hd/day</t>
  </si>
  <si>
    <t>Financial Projections for 5 year Starter Farm for Trophy Market</t>
  </si>
  <si>
    <t>velvet= 1yo-2#, 2+ yo ave- 12#</t>
  </si>
  <si>
    <t>Sell bulls @4 yo</t>
  </si>
  <si>
    <t>50% of value</t>
  </si>
  <si>
    <t xml:space="preserve">Yr 1 purchase 10 bred cows- 2000, 1 bull-5000, </t>
  </si>
  <si>
    <t>1 Bull= 3 yo</t>
  </si>
  <si>
    <t>velvet= 1yo-2#, 2+ yo ave-12#</t>
  </si>
  <si>
    <t>Sell bulls @ 4 yo</t>
  </si>
  <si>
    <t>Financial Projections for 5 year Starter Farm for M Market</t>
  </si>
  <si>
    <t>velvet= 1yo-4#, 2+ yo ave- 15#</t>
  </si>
  <si>
    <t>Sell bulls @ 10 yo</t>
  </si>
  <si>
    <t>1 Bull= 1- 3 yo</t>
  </si>
  <si>
    <t xml:space="preserve">Yr 1 purchase 10 bred cows- 2000, 1 bulls-5000 </t>
  </si>
  <si>
    <t>Existing 50 head</t>
  </si>
  <si>
    <t>velvet= 1yo-4#, 2+ yo ave- 25#</t>
  </si>
  <si>
    <t>ROI</t>
  </si>
  <si>
    <t>% RETURN per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</si>
</sst>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General_)"/>
    <numFmt numFmtId="165" formatCode="0_)"/>
    <numFmt numFmtId="166" formatCode="0.00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Protection="1"/>
    <xf numFmtId="9" fontId="6" fillId="0" borderId="0" xfId="0" applyNumberFormat="1" applyFont="1" applyProtection="1"/>
    <xf numFmtId="9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Protection="1"/>
    <xf numFmtId="164" fontId="2" fillId="0" borderId="0" xfId="0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left"/>
    </xf>
    <xf numFmtId="166" fontId="2" fillId="0" borderId="0" xfId="0" applyNumberFormat="1" applyFont="1" applyProtection="1"/>
    <xf numFmtId="164" fontId="2" fillId="2" borderId="0" xfId="0" applyNumberFormat="1" applyFont="1" applyFill="1" applyProtection="1"/>
    <xf numFmtId="44" fontId="2" fillId="0" borderId="0" xfId="1" applyFont="1" applyProtection="1"/>
    <xf numFmtId="1" fontId="2" fillId="3" borderId="0" xfId="0" applyNumberFormat="1" applyFont="1" applyFill="1" applyProtection="1"/>
    <xf numFmtId="44" fontId="2" fillId="2" borderId="0" xfId="1" applyFont="1" applyFill="1" applyProtection="1"/>
    <xf numFmtId="164" fontId="2" fillId="2" borderId="0" xfId="0" applyNumberFormat="1" applyFont="1" applyFill="1" applyAlignment="1" applyProtection="1">
      <alignment horizontal="left"/>
    </xf>
    <xf numFmtId="166" fontId="2" fillId="2" borderId="0" xfId="0" applyNumberFormat="1" applyFont="1" applyFill="1" applyAlignment="1" applyProtection="1">
      <alignment horizontal="left"/>
    </xf>
    <xf numFmtId="1" fontId="2" fillId="0" borderId="0" xfId="1" applyNumberFormat="1" applyFont="1" applyProtection="1"/>
    <xf numFmtId="166" fontId="6" fillId="0" borderId="0" xfId="0" applyNumberFormat="1" applyFont="1" applyAlignment="1" applyProtection="1">
      <alignment horizontal="left"/>
    </xf>
    <xf numFmtId="166" fontId="6" fillId="0" borderId="0" xfId="0" applyNumberFormat="1" applyFont="1" applyProtection="1"/>
    <xf numFmtId="2" fontId="2" fillId="0" borderId="0" xfId="0" applyNumberFormat="1" applyFont="1"/>
    <xf numFmtId="2" fontId="6" fillId="0" borderId="0" xfId="0" applyNumberFormat="1" applyFont="1"/>
    <xf numFmtId="9" fontId="2" fillId="0" borderId="0" xfId="0" applyNumberFormat="1" applyFont="1"/>
    <xf numFmtId="166" fontId="6" fillId="0" borderId="0" xfId="0" applyNumberFormat="1" applyFont="1"/>
    <xf numFmtId="44" fontId="6" fillId="0" borderId="0" xfId="1" applyFont="1" applyProtection="1"/>
    <xf numFmtId="44" fontId="6" fillId="0" borderId="0" xfId="1" applyFont="1" applyAlignment="1" applyProtection="1">
      <alignment horizontal="center"/>
    </xf>
    <xf numFmtId="44" fontId="6" fillId="0" borderId="0" xfId="1" applyFont="1"/>
    <xf numFmtId="44" fontId="2" fillId="0" borderId="0" xfId="1" applyFont="1"/>
    <xf numFmtId="44" fontId="6" fillId="2" borderId="0" xfId="1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66675</xdr:rowOff>
    </xdr:from>
    <xdr:to>
      <xdr:col>7</xdr:col>
      <xdr:colOff>914917</xdr:colOff>
      <xdr:row>6</xdr:row>
      <xdr:rowOff>56022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13A2E0-00CB-47E6-9237-22BD3CE14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66675"/>
          <a:ext cx="1486417" cy="14180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638692</xdr:colOff>
      <xdr:row>7</xdr:row>
      <xdr:rowOff>84597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9690EBF-14DC-48FC-AED0-CD963E7BE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95275"/>
          <a:ext cx="1486417" cy="14180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1</xdr:row>
      <xdr:rowOff>66675</xdr:rowOff>
    </xdr:from>
    <xdr:to>
      <xdr:col>7</xdr:col>
      <xdr:colOff>486292</xdr:colOff>
      <xdr:row>7</xdr:row>
      <xdr:rowOff>151272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A922C8B-C544-4B15-888F-2F4F6A260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361950"/>
          <a:ext cx="1486417" cy="14180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45</xdr:row>
      <xdr:rowOff>0</xdr:rowOff>
    </xdr:from>
    <xdr:to>
      <xdr:col>9</xdr:col>
      <xdr:colOff>48142</xdr:colOff>
      <xdr:row>57</xdr:row>
      <xdr:rowOff>162785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128A6D9-05CA-476D-84AD-240BD4288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9229725"/>
          <a:ext cx="2686567" cy="2563085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0</xdr:row>
      <xdr:rowOff>228600</xdr:rowOff>
    </xdr:from>
    <xdr:to>
      <xdr:col>8</xdr:col>
      <xdr:colOff>124342</xdr:colOff>
      <xdr:row>7</xdr:row>
      <xdr:rowOff>17922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79EACAE-F80B-4F5E-9AB1-E53312457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28600"/>
          <a:ext cx="1486417" cy="1418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104775</xdr:rowOff>
    </xdr:from>
    <xdr:to>
      <xdr:col>7</xdr:col>
      <xdr:colOff>657742</xdr:colOff>
      <xdr:row>7</xdr:row>
      <xdr:rowOff>189372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6353E5B-E3C7-407D-B9A0-03E673AF9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400050"/>
          <a:ext cx="1486417" cy="14180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285750</xdr:rowOff>
    </xdr:from>
    <xdr:to>
      <xdr:col>7</xdr:col>
      <xdr:colOff>495817</xdr:colOff>
      <xdr:row>7</xdr:row>
      <xdr:rowOff>75072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38C2C95-DC15-433C-8C64-090AA3243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85750"/>
          <a:ext cx="1486417" cy="14180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</xdr:row>
      <xdr:rowOff>9525</xdr:rowOff>
    </xdr:from>
    <xdr:to>
      <xdr:col>7</xdr:col>
      <xdr:colOff>695842</xdr:colOff>
      <xdr:row>7</xdr:row>
      <xdr:rowOff>94122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0CCAAEC-3B1C-4CB2-B004-7F31B507C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304800"/>
          <a:ext cx="1486417" cy="1418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1</xdr:row>
      <xdr:rowOff>57150</xdr:rowOff>
    </xdr:from>
    <xdr:to>
      <xdr:col>7</xdr:col>
      <xdr:colOff>543442</xdr:colOff>
      <xdr:row>7</xdr:row>
      <xdr:rowOff>141747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50D807B-6B09-4D05-B59C-F2B0C9100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352425"/>
          <a:ext cx="1486417" cy="14180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209550</xdr:rowOff>
    </xdr:from>
    <xdr:to>
      <xdr:col>8</xdr:col>
      <xdr:colOff>343417</xdr:colOff>
      <xdr:row>6</xdr:row>
      <xdr:rowOff>198897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90484C8-A46A-4A34-AB32-B154CED83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209550"/>
          <a:ext cx="1486417" cy="14180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209550</xdr:rowOff>
    </xdr:from>
    <xdr:to>
      <xdr:col>8</xdr:col>
      <xdr:colOff>105292</xdr:colOff>
      <xdr:row>6</xdr:row>
      <xdr:rowOff>198897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243D66C-4B0C-469F-9A7F-E7AE9456D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209550"/>
          <a:ext cx="1486417" cy="14180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1</xdr:row>
      <xdr:rowOff>0</xdr:rowOff>
    </xdr:from>
    <xdr:to>
      <xdr:col>8</xdr:col>
      <xdr:colOff>438667</xdr:colOff>
      <xdr:row>7</xdr:row>
      <xdr:rowOff>84597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7987040-1464-4F24-AD89-C3C65276E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295275"/>
          <a:ext cx="1486417" cy="14180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1</xdr:row>
      <xdr:rowOff>57150</xdr:rowOff>
    </xdr:from>
    <xdr:to>
      <xdr:col>7</xdr:col>
      <xdr:colOff>181492</xdr:colOff>
      <xdr:row>7</xdr:row>
      <xdr:rowOff>141747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E00C6CC-37F0-4B1D-9C79-A855D8B2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352425"/>
          <a:ext cx="1486417" cy="1418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J5" sqref="J5"/>
    </sheetView>
  </sheetViews>
  <sheetFormatPr defaultColWidth="11.42578125" defaultRowHeight="15.75" x14ac:dyDescent="0.25"/>
  <cols>
    <col min="1" max="1" width="27.5703125" style="1" customWidth="1"/>
    <col min="2" max="2" width="14" style="1" customWidth="1"/>
    <col min="3" max="3" width="15.85546875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4.28515625" style="1" customWidth="1"/>
    <col min="9" max="9" width="13.7109375" style="1" customWidth="1"/>
    <col min="10" max="10" width="13.85546875" style="1" customWidth="1"/>
    <col min="11" max="11" width="14.85546875" style="1" customWidth="1"/>
    <col min="12" max="12" width="15" style="1" customWidth="1"/>
    <col min="13" max="13" width="12.7109375" style="1" customWidth="1"/>
    <col min="14" max="22" width="10.7109375" style="1" customWidth="1"/>
    <col min="23" max="16384" width="11.42578125" style="1"/>
  </cols>
  <sheetData>
    <row r="1" spans="1:14" ht="23.25" x14ac:dyDescent="0.35">
      <c r="E1" s="2" t="s">
        <v>0</v>
      </c>
      <c r="N1" s="3" t="s">
        <v>1</v>
      </c>
    </row>
    <row r="2" spans="1:14" ht="23.25" x14ac:dyDescent="0.35">
      <c r="E2" s="2"/>
      <c r="N2" s="1" t="s">
        <v>2</v>
      </c>
    </row>
    <row r="3" spans="1:14" ht="18.75" x14ac:dyDescent="0.3">
      <c r="A3" s="4" t="s">
        <v>3</v>
      </c>
      <c r="B3" s="4"/>
      <c r="N3" s="1" t="s">
        <v>4</v>
      </c>
    </row>
    <row r="4" spans="1:14" x14ac:dyDescent="0.25">
      <c r="A4" s="5"/>
      <c r="B4" s="5"/>
      <c r="I4" s="6"/>
      <c r="L4" s="6"/>
      <c r="M4" s="6"/>
      <c r="N4" s="1" t="s">
        <v>5</v>
      </c>
    </row>
    <row r="5" spans="1:14" x14ac:dyDescent="0.25">
      <c r="A5" s="5" t="s">
        <v>6</v>
      </c>
      <c r="B5" s="5"/>
      <c r="I5" s="6"/>
      <c r="N5" s="1" t="s">
        <v>7</v>
      </c>
    </row>
    <row r="6" spans="1:14" x14ac:dyDescent="0.25">
      <c r="I6" s="6"/>
      <c r="J6" s="6"/>
      <c r="N6" s="1" t="s">
        <v>8</v>
      </c>
    </row>
    <row r="7" spans="1:14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H7" s="7"/>
      <c r="J7" s="7"/>
      <c r="L7" s="7"/>
      <c r="N7" s="1" t="s">
        <v>13</v>
      </c>
    </row>
    <row r="8" spans="1:14" s="5" customFormat="1" x14ac:dyDescent="0.25">
      <c r="A8" s="32">
        <f>SUM(C8:G8)</f>
        <v>111400</v>
      </c>
      <c r="B8" s="32"/>
      <c r="C8" s="31">
        <v>40000</v>
      </c>
      <c r="D8" s="31">
        <v>26400</v>
      </c>
      <c r="E8" s="33">
        <v>45000</v>
      </c>
      <c r="H8" s="7"/>
      <c r="J8" s="7"/>
      <c r="K8" s="9"/>
      <c r="L8" s="10"/>
      <c r="N8" s="1" t="s">
        <v>14</v>
      </c>
    </row>
    <row r="9" spans="1:14" s="5" customFormat="1" x14ac:dyDescent="0.25">
      <c r="A9" s="7"/>
      <c r="B9" s="7"/>
      <c r="D9" s="8"/>
      <c r="F9" s="8"/>
      <c r="H9" s="7"/>
      <c r="J9" s="7"/>
      <c r="K9" s="9"/>
      <c r="L9" s="10"/>
      <c r="N9" s="5" t="s">
        <v>15</v>
      </c>
    </row>
    <row r="10" spans="1:14" x14ac:dyDescent="0.25">
      <c r="A10" s="11" t="s">
        <v>16</v>
      </c>
      <c r="B10" s="11" t="s">
        <v>17</v>
      </c>
      <c r="C10" s="8">
        <v>1</v>
      </c>
      <c r="D10" s="8">
        <f>SUM(C10+1)</f>
        <v>2</v>
      </c>
      <c r="E10" s="8">
        <f t="shared" ref="E10:L10" si="0">SUM(D10+1)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</row>
    <row r="11" spans="1:14" x14ac:dyDescent="0.25">
      <c r="A11" s="12" t="s">
        <v>18</v>
      </c>
      <c r="B11" s="12"/>
      <c r="C11" s="13">
        <v>10</v>
      </c>
      <c r="D11" s="14">
        <f t="shared" ref="D11:L11" si="1">(C11+C12)-C25</f>
        <v>10</v>
      </c>
      <c r="E11" s="14">
        <f t="shared" si="1"/>
        <v>10</v>
      </c>
      <c r="F11" s="14">
        <f t="shared" si="1"/>
        <v>9.879999999999999</v>
      </c>
      <c r="G11" s="14">
        <f t="shared" si="1"/>
        <v>9.759999999999998</v>
      </c>
      <c r="H11" s="14">
        <f t="shared" si="1"/>
        <v>9.580899999999998</v>
      </c>
      <c r="I11" s="14">
        <f t="shared" si="1"/>
        <v>10.355239999999998</v>
      </c>
      <c r="J11" s="14">
        <f t="shared" si="1"/>
        <v>10.311188249999997</v>
      </c>
      <c r="K11" s="14">
        <f t="shared" si="1"/>
        <v>10.186354899999996</v>
      </c>
      <c r="L11" s="14">
        <f t="shared" si="1"/>
        <v>10.406005470624995</v>
      </c>
    </row>
    <row r="12" spans="1:14" x14ac:dyDescent="0.25">
      <c r="A12" s="12" t="s">
        <v>19</v>
      </c>
      <c r="B12" s="12"/>
      <c r="C12" s="13">
        <v>0</v>
      </c>
      <c r="D12" s="14">
        <f t="shared" ref="D12:L12" si="2">C13</f>
        <v>0</v>
      </c>
      <c r="E12" s="14">
        <f t="shared" si="2"/>
        <v>3.88</v>
      </c>
      <c r="F12" s="14">
        <f t="shared" si="2"/>
        <v>3.88</v>
      </c>
      <c r="G12" s="14">
        <f t="shared" si="2"/>
        <v>4.8209</v>
      </c>
      <c r="H12" s="14">
        <f t="shared" si="2"/>
        <v>4.7743399999999996</v>
      </c>
      <c r="I12" s="14">
        <f t="shared" si="2"/>
        <v>4.9559482499999996</v>
      </c>
      <c r="J12" s="14">
        <f t="shared" si="2"/>
        <v>4.8751666499999988</v>
      </c>
      <c r="K12" s="14">
        <f t="shared" si="2"/>
        <v>5.2196505706249994</v>
      </c>
      <c r="L12" s="14">
        <f t="shared" si="2"/>
        <v>5.1829689536249992</v>
      </c>
    </row>
    <row r="13" spans="1:14" x14ac:dyDescent="0.25">
      <c r="A13" s="12" t="s">
        <v>20</v>
      </c>
      <c r="B13" s="12"/>
      <c r="C13" s="13">
        <v>0</v>
      </c>
      <c r="D13" s="14">
        <f t="shared" ref="D13:L13" si="3">(C14*0.5)*0.97</f>
        <v>3.88</v>
      </c>
      <c r="E13" s="14">
        <f t="shared" si="3"/>
        <v>3.88</v>
      </c>
      <c r="F13" s="14">
        <f t="shared" si="3"/>
        <v>4.8209</v>
      </c>
      <c r="G13" s="14">
        <f t="shared" si="3"/>
        <v>4.7743399999999996</v>
      </c>
      <c r="H13" s="14">
        <f t="shared" si="3"/>
        <v>4.9559482499999996</v>
      </c>
      <c r="I13" s="14">
        <f t="shared" si="3"/>
        <v>4.8751666499999988</v>
      </c>
      <c r="J13" s="14">
        <f t="shared" si="3"/>
        <v>5.2196505706249994</v>
      </c>
      <c r="K13" s="14">
        <f t="shared" si="3"/>
        <v>5.1829689536249992</v>
      </c>
      <c r="L13" s="14">
        <f t="shared" si="3"/>
        <v>5.2180709645765608</v>
      </c>
    </row>
    <row r="14" spans="1:14" x14ac:dyDescent="0.25">
      <c r="A14" s="15" t="s">
        <v>21</v>
      </c>
      <c r="B14" s="15"/>
      <c r="C14" s="14">
        <f t="shared" ref="C14:L14" si="4">((C11*C15)+(C12*0.5))</f>
        <v>8</v>
      </c>
      <c r="D14" s="14">
        <f t="shared" si="4"/>
        <v>8</v>
      </c>
      <c r="E14" s="14">
        <f t="shared" si="4"/>
        <v>9.94</v>
      </c>
      <c r="F14" s="14">
        <f t="shared" si="4"/>
        <v>9.8439999999999994</v>
      </c>
      <c r="G14" s="14">
        <f t="shared" si="4"/>
        <v>10.218449999999999</v>
      </c>
      <c r="H14" s="14">
        <f t="shared" si="4"/>
        <v>10.051889999999998</v>
      </c>
      <c r="I14" s="14">
        <f t="shared" si="4"/>
        <v>10.762166124999998</v>
      </c>
      <c r="J14" s="14">
        <f t="shared" si="4"/>
        <v>10.686533924999999</v>
      </c>
      <c r="K14" s="14">
        <f t="shared" si="4"/>
        <v>10.758909205312497</v>
      </c>
      <c r="L14" s="14">
        <f t="shared" si="4"/>
        <v>10.916288853312496</v>
      </c>
    </row>
    <row r="15" spans="1:14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  <c r="H15" s="17">
        <v>0.8</v>
      </c>
      <c r="I15" s="17">
        <v>0.8</v>
      </c>
      <c r="J15" s="17">
        <v>0.8</v>
      </c>
      <c r="K15" s="17">
        <v>0.8</v>
      </c>
      <c r="L15" s="17">
        <v>0.8</v>
      </c>
    </row>
    <row r="16" spans="1:14" x14ac:dyDescent="0.25">
      <c r="A16" s="15" t="s">
        <v>23</v>
      </c>
      <c r="B16" s="15"/>
      <c r="C16" s="18">
        <v>5</v>
      </c>
      <c r="D16" s="14">
        <f t="shared" ref="D16:L16" si="5">((C16+C17)-(C23+C28))*0.98</f>
        <v>9.8000000000000007</v>
      </c>
      <c r="E16" s="14">
        <f t="shared" si="5"/>
        <v>12.426399999999999</v>
      </c>
      <c r="F16" s="14">
        <f t="shared" si="5"/>
        <v>14.020272</v>
      </c>
      <c r="G16" s="14">
        <f t="shared" si="5"/>
        <v>13.564348560000001</v>
      </c>
      <c r="H16" s="14">
        <f t="shared" si="5"/>
        <v>14.051914788800001</v>
      </c>
      <c r="I16" s="14">
        <f t="shared" si="5"/>
        <v>14.707705778024</v>
      </c>
      <c r="J16" s="14">
        <f t="shared" si="5"/>
        <v>15.271214979463517</v>
      </c>
      <c r="K16" s="14">
        <f t="shared" si="5"/>
        <v>15.181048239086744</v>
      </c>
      <c r="L16" s="14">
        <f t="shared" si="5"/>
        <v>15.056736848857508</v>
      </c>
    </row>
    <row r="17" spans="1:20" x14ac:dyDescent="0.25">
      <c r="A17" s="12" t="s">
        <v>24</v>
      </c>
      <c r="B17" s="12"/>
      <c r="C17" s="13">
        <v>5</v>
      </c>
      <c r="D17" s="14">
        <f t="shared" ref="D17:L17" si="6">(C14*0.5)*0.97</f>
        <v>3.88</v>
      </c>
      <c r="E17" s="14">
        <f t="shared" si="6"/>
        <v>3.88</v>
      </c>
      <c r="F17" s="14">
        <f t="shared" si="6"/>
        <v>4.8209</v>
      </c>
      <c r="G17" s="14">
        <f t="shared" si="6"/>
        <v>4.7743399999999996</v>
      </c>
      <c r="H17" s="14">
        <f t="shared" si="6"/>
        <v>4.9559482499999996</v>
      </c>
      <c r="I17" s="14">
        <f t="shared" si="6"/>
        <v>4.8751666499999988</v>
      </c>
      <c r="J17" s="14">
        <f t="shared" si="6"/>
        <v>5.2196505706249994</v>
      </c>
      <c r="K17" s="14">
        <f t="shared" si="6"/>
        <v>5.1829689536249992</v>
      </c>
      <c r="L17" s="14">
        <f t="shared" si="6"/>
        <v>5.2180709645765608</v>
      </c>
    </row>
    <row r="18" spans="1:20" x14ac:dyDescent="0.25">
      <c r="A18" s="15" t="s">
        <v>25</v>
      </c>
      <c r="B18" s="15"/>
      <c r="C18" s="14">
        <f t="shared" ref="C18:L18" si="7">SUM(C11:C17)</f>
        <v>28.8</v>
      </c>
      <c r="D18" s="14">
        <f t="shared" si="7"/>
        <v>36.360000000000007</v>
      </c>
      <c r="E18" s="14">
        <f t="shared" si="7"/>
        <v>44.806399999999996</v>
      </c>
      <c r="F18" s="14">
        <f t="shared" si="7"/>
        <v>48.066072000000005</v>
      </c>
      <c r="G18" s="14">
        <f t="shared" si="7"/>
        <v>48.712378560000005</v>
      </c>
      <c r="H18" s="14">
        <f t="shared" si="7"/>
        <v>49.170941288799995</v>
      </c>
      <c r="I18" s="14">
        <f t="shared" si="7"/>
        <v>51.331393453023992</v>
      </c>
      <c r="J18" s="14">
        <f t="shared" si="7"/>
        <v>52.383404945713515</v>
      </c>
      <c r="K18" s="14">
        <f t="shared" si="7"/>
        <v>52.511900822274228</v>
      </c>
      <c r="L18" s="14">
        <f t="shared" si="7"/>
        <v>52.798142055573116</v>
      </c>
    </row>
    <row r="19" spans="1:20" x14ac:dyDescent="0.25">
      <c r="A19" s="15" t="s">
        <v>26</v>
      </c>
      <c r="B19" s="15"/>
      <c r="C19" s="19">
        <f t="shared" ref="C19:L19" si="8">SUM(C11*C26)+((C16*0.25)*C24)+(C16*0.75*C29)+(C13*C22)+(C14*C22)+(C12*0.85*C26)+(C17*1000)</f>
        <v>38950</v>
      </c>
      <c r="D19" s="19">
        <f t="shared" si="8"/>
        <v>62983.5</v>
      </c>
      <c r="E19" s="19">
        <f t="shared" si="8"/>
        <v>79699.675959999993</v>
      </c>
      <c r="F19" s="19">
        <f t="shared" si="8"/>
        <v>91362.595253215986</v>
      </c>
      <c r="G19" s="19">
        <f t="shared" si="8"/>
        <v>94792.173426722642</v>
      </c>
      <c r="H19" s="19">
        <f t="shared" si="8"/>
        <v>101158.13331373919</v>
      </c>
      <c r="I19" s="19">
        <f t="shared" si="8"/>
        <v>110716.26006318463</v>
      </c>
      <c r="J19" s="19">
        <f t="shared" si="8"/>
        <v>119039.68002135515</v>
      </c>
      <c r="K19" s="19">
        <f t="shared" si="8"/>
        <v>124345.27031826523</v>
      </c>
      <c r="L19" s="19">
        <f t="shared" si="8"/>
        <v>130066.30096622367</v>
      </c>
    </row>
    <row r="20" spans="1:20" x14ac:dyDescent="0.25">
      <c r="A20" s="11" t="s">
        <v>27</v>
      </c>
      <c r="B20" s="11"/>
    </row>
    <row r="21" spans="1:20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20" x14ac:dyDescent="0.25">
      <c r="A22" s="15" t="s">
        <v>29</v>
      </c>
      <c r="B22" s="15"/>
      <c r="C22" s="19">
        <v>650</v>
      </c>
      <c r="D22" s="19">
        <v>1000</v>
      </c>
      <c r="E22" s="19">
        <f t="shared" ref="E22:L22" si="9">D22*1.05</f>
        <v>1050</v>
      </c>
      <c r="F22" s="19">
        <f t="shared" si="9"/>
        <v>1102.5</v>
      </c>
      <c r="G22" s="19">
        <f t="shared" si="9"/>
        <v>1157.625</v>
      </c>
      <c r="H22" s="19">
        <f t="shared" si="9"/>
        <v>1215.5062500000001</v>
      </c>
      <c r="I22" s="19">
        <f t="shared" si="9"/>
        <v>1276.2815625000003</v>
      </c>
      <c r="J22" s="19">
        <f t="shared" si="9"/>
        <v>1340.0956406250004</v>
      </c>
      <c r="K22" s="19">
        <f t="shared" si="9"/>
        <v>1407.1004226562504</v>
      </c>
      <c r="L22" s="19">
        <f t="shared" si="9"/>
        <v>1477.4554437890631</v>
      </c>
    </row>
    <row r="23" spans="1:20" x14ac:dyDescent="0.25">
      <c r="A23" s="12" t="s">
        <v>30</v>
      </c>
      <c r="B23" s="12"/>
      <c r="C23" s="13">
        <v>0</v>
      </c>
      <c r="D23" s="13">
        <v>1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20" x14ac:dyDescent="0.25">
      <c r="A24" s="12" t="s">
        <v>31</v>
      </c>
      <c r="B24" s="12"/>
      <c r="C24" s="19">
        <v>1500</v>
      </c>
      <c r="D24" s="14">
        <f>C24*1.02</f>
        <v>1530</v>
      </c>
      <c r="E24" s="14">
        <f t="shared" ref="E24:L24" si="10">D24*1.02</f>
        <v>1560.6000000000001</v>
      </c>
      <c r="F24" s="14">
        <f t="shared" si="10"/>
        <v>1591.8120000000001</v>
      </c>
      <c r="G24" s="14">
        <f t="shared" si="10"/>
        <v>1623.6482400000002</v>
      </c>
      <c r="H24" s="14">
        <f t="shared" si="10"/>
        <v>1656.1212048000002</v>
      </c>
      <c r="I24" s="14">
        <f t="shared" si="10"/>
        <v>1689.2436288960002</v>
      </c>
      <c r="J24" s="14">
        <f t="shared" si="10"/>
        <v>1723.0285014739202</v>
      </c>
      <c r="K24" s="14">
        <f t="shared" si="10"/>
        <v>1757.4890715033987</v>
      </c>
      <c r="L24" s="14">
        <f t="shared" si="10"/>
        <v>1792.6388529334668</v>
      </c>
      <c r="T24" s="14"/>
    </row>
    <row r="25" spans="1:20" x14ac:dyDescent="0.25">
      <c r="A25" s="15" t="s">
        <v>32</v>
      </c>
      <c r="B25" s="15"/>
      <c r="C25" s="18">
        <v>0</v>
      </c>
      <c r="D25" s="18">
        <v>0</v>
      </c>
      <c r="E25" s="18">
        <v>4</v>
      </c>
      <c r="F25" s="18">
        <v>4</v>
      </c>
      <c r="G25" s="18">
        <v>5</v>
      </c>
      <c r="H25" s="18">
        <v>4</v>
      </c>
      <c r="I25" s="18">
        <v>5</v>
      </c>
      <c r="J25" s="18">
        <v>5</v>
      </c>
      <c r="K25" s="18">
        <v>5</v>
      </c>
      <c r="L25" s="18">
        <v>5</v>
      </c>
    </row>
    <row r="26" spans="1:20" x14ac:dyDescent="0.25">
      <c r="A26" s="15" t="s">
        <v>33</v>
      </c>
      <c r="B26" s="15"/>
      <c r="C26" s="19">
        <v>1000</v>
      </c>
      <c r="D26" s="19">
        <f>C26*1.04</f>
        <v>1040</v>
      </c>
      <c r="E26" s="19">
        <f t="shared" ref="E26:L26" si="11">D26*1.05</f>
        <v>1092</v>
      </c>
      <c r="F26" s="19">
        <f t="shared" si="11"/>
        <v>1146.6000000000001</v>
      </c>
      <c r="G26" s="19">
        <f t="shared" si="11"/>
        <v>1203.9300000000003</v>
      </c>
      <c r="H26" s="19">
        <f t="shared" si="11"/>
        <v>1264.1265000000003</v>
      </c>
      <c r="I26" s="19">
        <f t="shared" si="11"/>
        <v>1327.3328250000004</v>
      </c>
      <c r="J26" s="19">
        <f t="shared" si="11"/>
        <v>1393.6994662500006</v>
      </c>
      <c r="K26" s="19">
        <f t="shared" si="11"/>
        <v>1463.3844395625006</v>
      </c>
      <c r="L26" s="19">
        <f t="shared" si="11"/>
        <v>1536.5536615406256</v>
      </c>
    </row>
    <row r="27" spans="1:20" x14ac:dyDescent="0.25">
      <c r="A27" s="12" t="s">
        <v>34</v>
      </c>
      <c r="B27" s="12"/>
      <c r="C27" s="14">
        <f>C18*0.02</f>
        <v>0.57600000000000007</v>
      </c>
      <c r="D27" s="14">
        <f t="shared" ref="D27:L27" si="12">D18*0.02</f>
        <v>0.72720000000000018</v>
      </c>
      <c r="E27" s="14">
        <f t="shared" si="12"/>
        <v>0.89612799999999992</v>
      </c>
      <c r="F27" s="14">
        <f t="shared" si="12"/>
        <v>0.96132144000000008</v>
      </c>
      <c r="G27" s="14">
        <f t="shared" si="12"/>
        <v>0.97424757120000016</v>
      </c>
      <c r="H27" s="14">
        <f t="shared" si="12"/>
        <v>0.98341882577599993</v>
      </c>
      <c r="I27" s="14">
        <f t="shared" si="12"/>
        <v>1.0266278690604798</v>
      </c>
      <c r="J27" s="14">
        <f t="shared" si="12"/>
        <v>1.0476680989142704</v>
      </c>
      <c r="K27" s="14">
        <f t="shared" si="12"/>
        <v>1.0502380164454845</v>
      </c>
      <c r="L27" s="14">
        <f t="shared" si="12"/>
        <v>1.0559628411114623</v>
      </c>
    </row>
    <row r="28" spans="1:20" x14ac:dyDescent="0.25">
      <c r="A28" s="12" t="s">
        <v>35</v>
      </c>
      <c r="B28" s="12"/>
      <c r="C28" s="13">
        <v>0</v>
      </c>
      <c r="D28" s="13">
        <v>0</v>
      </c>
      <c r="E28" s="13">
        <v>2</v>
      </c>
      <c r="F28" s="13">
        <v>5</v>
      </c>
      <c r="G28" s="13">
        <v>4</v>
      </c>
      <c r="H28" s="13">
        <v>4</v>
      </c>
      <c r="I28" s="13">
        <v>4</v>
      </c>
      <c r="J28" s="13">
        <v>5</v>
      </c>
      <c r="K28" s="13">
        <v>5</v>
      </c>
      <c r="L28" s="13">
        <v>5</v>
      </c>
    </row>
    <row r="29" spans="1:20" x14ac:dyDescent="0.25">
      <c r="A29" s="12" t="s">
        <v>36</v>
      </c>
      <c r="B29" s="12"/>
      <c r="C29" s="19">
        <v>4500</v>
      </c>
      <c r="D29" s="14">
        <v>4500</v>
      </c>
      <c r="E29" s="14">
        <v>4500</v>
      </c>
      <c r="F29" s="14">
        <f t="shared" ref="F29:L29" si="13">E29*1.05</f>
        <v>4725</v>
      </c>
      <c r="G29" s="14">
        <f t="shared" si="13"/>
        <v>4961.25</v>
      </c>
      <c r="H29" s="14">
        <f t="shared" si="13"/>
        <v>5209.3125</v>
      </c>
      <c r="I29" s="14">
        <f t="shared" si="13"/>
        <v>5469.7781249999998</v>
      </c>
      <c r="J29" s="14">
        <f t="shared" si="13"/>
        <v>5743.2670312500004</v>
      </c>
      <c r="K29" s="14">
        <f t="shared" si="13"/>
        <v>6030.4303828125003</v>
      </c>
      <c r="L29" s="14">
        <f t="shared" si="13"/>
        <v>6331.9519019531253</v>
      </c>
    </row>
    <row r="30" spans="1:20" x14ac:dyDescent="0.25">
      <c r="A30" s="15" t="s">
        <v>37</v>
      </c>
      <c r="B30" s="15"/>
      <c r="C30" s="20">
        <f t="shared" ref="C30:L30" si="14">((C16-C28)*12)+(C17*2)</f>
        <v>70</v>
      </c>
      <c r="D30" s="20">
        <f t="shared" si="14"/>
        <v>125.36000000000001</v>
      </c>
      <c r="E30" s="20">
        <f t="shared" si="14"/>
        <v>132.87679999999997</v>
      </c>
      <c r="F30" s="20">
        <f t="shared" si="14"/>
        <v>117.88506400000001</v>
      </c>
      <c r="G30" s="20">
        <f t="shared" si="14"/>
        <v>124.32086272000002</v>
      </c>
      <c r="H30" s="20">
        <f t="shared" si="14"/>
        <v>130.53487396560001</v>
      </c>
      <c r="I30" s="20">
        <f t="shared" si="14"/>
        <v>138.24280263628799</v>
      </c>
      <c r="J30" s="20">
        <f t="shared" si="14"/>
        <v>133.6938808948122</v>
      </c>
      <c r="K30" s="20">
        <f t="shared" si="14"/>
        <v>132.53851677629092</v>
      </c>
      <c r="L30" s="20">
        <f t="shared" si="14"/>
        <v>131.11698411544322</v>
      </c>
    </row>
    <row r="31" spans="1:20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  <c r="H31" s="21">
        <v>35</v>
      </c>
      <c r="I31" s="21">
        <v>35</v>
      </c>
      <c r="J31" s="21">
        <v>35</v>
      </c>
      <c r="K31" s="21">
        <v>35</v>
      </c>
      <c r="L31" s="21">
        <v>35</v>
      </c>
    </row>
    <row r="32" spans="1:20" x14ac:dyDescent="0.25">
      <c r="A32" s="11" t="s">
        <v>39</v>
      </c>
      <c r="B32" s="11"/>
      <c r="C32" s="19">
        <f>(C21*C22)+(C23*C24)+(C25*C26)+(C28*C29)+(C30*C31)</f>
        <v>2450</v>
      </c>
      <c r="D32" s="14">
        <f t="shared" ref="D32:L32" si="15">(D21*D22)+(D23*D24)+(D25*D26)+(D28*D29)+(D30*D31)</f>
        <v>5917.6</v>
      </c>
      <c r="E32" s="14">
        <f t="shared" si="15"/>
        <v>18018.687999999998</v>
      </c>
      <c r="F32" s="14">
        <f t="shared" si="15"/>
        <v>32337.377240000002</v>
      </c>
      <c r="G32" s="14">
        <f t="shared" si="15"/>
        <v>30215.880195200003</v>
      </c>
      <c r="H32" s="14">
        <f t="shared" si="15"/>
        <v>30462.476588796002</v>
      </c>
      <c r="I32" s="14">
        <f t="shared" si="15"/>
        <v>33354.274717270084</v>
      </c>
      <c r="J32" s="14">
        <f t="shared" si="15"/>
        <v>40364.11831881843</v>
      </c>
      <c r="K32" s="14">
        <f t="shared" si="15"/>
        <v>42107.922199045184</v>
      </c>
      <c r="L32" s="14">
        <f t="shared" si="15"/>
        <v>43931.62226150927</v>
      </c>
    </row>
    <row r="33" spans="1:13" x14ac:dyDescent="0.25">
      <c r="A33" s="15" t="s">
        <v>40</v>
      </c>
      <c r="B33" s="15"/>
      <c r="C33" s="19">
        <f t="shared" ref="C33:L33" si="16">C32/(C16+C11)</f>
        <v>163.33333333333334</v>
      </c>
      <c r="D33" s="14">
        <f t="shared" si="16"/>
        <v>298.86868686868689</v>
      </c>
      <c r="E33" s="14">
        <f t="shared" si="16"/>
        <v>803.45878072271955</v>
      </c>
      <c r="F33" s="14">
        <f t="shared" si="16"/>
        <v>1353.0129380954327</v>
      </c>
      <c r="G33" s="14">
        <f t="shared" si="16"/>
        <v>1295.4651281030251</v>
      </c>
      <c r="H33" s="14">
        <f t="shared" si="16"/>
        <v>1288.9906200776684</v>
      </c>
      <c r="I33" s="14">
        <f t="shared" si="16"/>
        <v>1330.82020815431</v>
      </c>
      <c r="J33" s="14">
        <f t="shared" si="16"/>
        <v>1577.8079157289906</v>
      </c>
      <c r="K33" s="14">
        <f t="shared" si="16"/>
        <v>1659.92245907758</v>
      </c>
      <c r="L33" s="14">
        <f t="shared" si="16"/>
        <v>1725.3295701734189</v>
      </c>
    </row>
    <row r="34" spans="1:13" x14ac:dyDescent="0.25">
      <c r="C34" s="14"/>
    </row>
    <row r="35" spans="1:13" x14ac:dyDescent="0.25">
      <c r="A35" s="11" t="s">
        <v>41</v>
      </c>
      <c r="B35" s="11"/>
    </row>
    <row r="36" spans="1:13" x14ac:dyDescent="0.25">
      <c r="A36" s="15" t="s">
        <v>42</v>
      </c>
      <c r="B36" s="15"/>
      <c r="C36" s="19">
        <f t="shared" ref="C36:L36" si="17">(C11*200)</f>
        <v>2000</v>
      </c>
      <c r="D36" s="19">
        <f t="shared" si="17"/>
        <v>2000</v>
      </c>
      <c r="E36" s="19">
        <f t="shared" si="17"/>
        <v>2000</v>
      </c>
      <c r="F36" s="19">
        <f t="shared" si="17"/>
        <v>1975.9999999999998</v>
      </c>
      <c r="G36" s="19">
        <f t="shared" si="17"/>
        <v>1951.9999999999995</v>
      </c>
      <c r="H36" s="19">
        <f t="shared" si="17"/>
        <v>1916.1799999999996</v>
      </c>
      <c r="I36" s="19">
        <f t="shared" si="17"/>
        <v>2071.0479999999998</v>
      </c>
      <c r="J36" s="19">
        <f t="shared" si="17"/>
        <v>2062.2376499999996</v>
      </c>
      <c r="K36" s="19">
        <f t="shared" si="17"/>
        <v>2037.2709799999991</v>
      </c>
      <c r="L36" s="19">
        <f t="shared" si="17"/>
        <v>2081.2010941249991</v>
      </c>
    </row>
    <row r="37" spans="1:13" x14ac:dyDescent="0.25">
      <c r="A37" s="15" t="s">
        <v>43</v>
      </c>
      <c r="B37" s="22">
        <v>0.02</v>
      </c>
      <c r="C37" s="19">
        <f>D8*B37</f>
        <v>528</v>
      </c>
      <c r="D37" s="14">
        <f t="shared" ref="D37:L37" si="18">C37*1.05</f>
        <v>554.4</v>
      </c>
      <c r="E37" s="14">
        <f t="shared" si="18"/>
        <v>582.12</v>
      </c>
      <c r="F37" s="14">
        <f t="shared" si="18"/>
        <v>611.226</v>
      </c>
      <c r="G37" s="14">
        <f t="shared" si="18"/>
        <v>641.78730000000007</v>
      </c>
      <c r="H37" s="14">
        <f t="shared" si="18"/>
        <v>673.87666500000012</v>
      </c>
      <c r="I37" s="14">
        <f t="shared" si="18"/>
        <v>707.57049825000013</v>
      </c>
      <c r="J37" s="14">
        <f t="shared" si="18"/>
        <v>742.94902316250011</v>
      </c>
      <c r="K37" s="14">
        <f t="shared" si="18"/>
        <v>780.09647432062513</v>
      </c>
      <c r="L37" s="14">
        <f t="shared" si="18"/>
        <v>819.10129803665643</v>
      </c>
    </row>
    <row r="38" spans="1:13" x14ac:dyDescent="0.25">
      <c r="A38" s="12" t="s">
        <v>44</v>
      </c>
      <c r="B38" s="23">
        <v>0.02</v>
      </c>
      <c r="C38" s="19">
        <f>C8*B38</f>
        <v>800</v>
      </c>
      <c r="D38" s="14">
        <f t="shared" ref="D38:L38" si="19">C38*1.03</f>
        <v>824</v>
      </c>
      <c r="E38" s="14">
        <f t="shared" si="19"/>
        <v>848.72</v>
      </c>
      <c r="F38" s="14">
        <f t="shared" si="19"/>
        <v>874.1816</v>
      </c>
      <c r="G38" s="14">
        <f t="shared" si="19"/>
        <v>900.40704800000003</v>
      </c>
      <c r="H38" s="14">
        <f t="shared" si="19"/>
        <v>927.41925944000002</v>
      </c>
      <c r="I38" s="14">
        <f t="shared" si="19"/>
        <v>955.24183722320004</v>
      </c>
      <c r="J38" s="14">
        <f t="shared" si="19"/>
        <v>983.89909233989601</v>
      </c>
      <c r="K38" s="14">
        <f t="shared" si="19"/>
        <v>1013.416065110093</v>
      </c>
      <c r="L38" s="14">
        <f t="shared" si="19"/>
        <v>1043.8185470633957</v>
      </c>
    </row>
    <row r="39" spans="1:13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4356</v>
      </c>
      <c r="D39" s="19">
        <f>((D11*15*180)+(D12*15*180)+(D17*20*180)+(D16*20*180)+(D13*15*180)+(D14*10*120))/2000*B39</f>
        <v>5779.44</v>
      </c>
      <c r="E39" s="19">
        <f>((E11*15*180)+(E12*15*180)+(E17*20*180)+(E16*20*180)+(E13*15*180)+(E14*10*120))/2000*B39</f>
        <v>7114.9824000000008</v>
      </c>
      <c r="F39" s="19">
        <f>((F11*15*180)+(F12*15*180)+(F17*20*180)+(F16*20*180)+(F13*15*180)+(F14*10*120))/2000*B39</f>
        <v>7788.566952000001</v>
      </c>
      <c r="G39" s="19">
        <f>((G11*15*180)+(G12*15*180)+(G17*20*180)+(G16*20*180)+(G13*15*180)+(G14*10*120))/2000*B39</f>
        <v>7832.43400896</v>
      </c>
      <c r="H39" s="19">
        <f>((H11*15*180)+(H12*15*180)+(H17*20*180)+(H16*20*180)+(H13*15*180)+(H14*10*120))/2000*B39</f>
        <v>7957.8469928808008</v>
      </c>
      <c r="I39" s="19">
        <f>((I11*15*180)+(I12*15*180)+(I17*20*180)+(I16*20*180)+(I13*15*180)+(I14*10*120))/2000*B39</f>
        <v>8274.9658992531822</v>
      </c>
      <c r="J39" s="19">
        <f>((J11*15*180)+(J12*15*180)+(J17*20*180)+(J16*20*180)+(J13*15*180)+(J14*10*120))/2000*B39</f>
        <v>8501.230287660368</v>
      </c>
      <c r="K39" s="19">
        <f>((K11*15*180)+(K12*15*180)+(K17*20*180)+(K16*20*180)+(K13*15*180)+(K14*10*120))/2000*B39</f>
        <v>8508.6830331367364</v>
      </c>
      <c r="L39" s="19">
        <f>((L11*15*180)+(L12*15*180)+(L17*20*180)+(L16*20*180)+(L13*15*180)+(L14*10*120))/2000*B39</f>
        <v>8536.0726381301592</v>
      </c>
    </row>
    <row r="40" spans="1:13" x14ac:dyDescent="0.25">
      <c r="A40" s="15" t="s">
        <v>46</v>
      </c>
      <c r="B40" s="22">
        <v>120</v>
      </c>
      <c r="C40" s="24">
        <f>((C11*3*180)+(C12*3*180)+(C16*5*180)+(C17*5*180)+(C13*4*180)+(C14*3*120))*(B40/2000)</f>
        <v>1036.8</v>
      </c>
      <c r="D40" s="24">
        <f>((D11*3*180)+(D12*3*180)+(D16*5*180)+(D17*5*180)+(D13*4*180)+(D14*3*120))*(B40/2000)</f>
        <v>1403.136</v>
      </c>
      <c r="E40" s="24">
        <f>((E11*3*180)+(E12*3*180)+(E16*5*180)+(E17*5*180)+(E13*4*180)+(E14*3*120))*(B40/2000)</f>
        <v>1712.5775999999998</v>
      </c>
      <c r="F40" s="24">
        <f>((F11*3*180)+(F12*3*180)+(F16*5*180)+(F17*5*180)+(F13*4*180)+(F14*3*120))*(B40/2000)</f>
        <v>1884.140568</v>
      </c>
      <c r="G40" s="24">
        <f>((G11*3*180)+(G12*3*180)+(G16*5*180)+(G17*5*180)+(G13*4*180)+(G14*3*120))*(B40/2000)</f>
        <v>1889.6803502399998</v>
      </c>
      <c r="H40" s="24">
        <f>((H11*3*180)+(H12*3*180)+(H16*5*180)+(H17*5*180)+(H13*4*180)+(H14*3*120))*(B40/2000)</f>
        <v>1922.7521684951998</v>
      </c>
      <c r="I40" s="24">
        <f>((I11*3*180)+(I12*3*180)+(I16*5*180)+(I17*5*180)+(I13*4*180)+(I14*3*120))*(B40/2000)</f>
        <v>1996.6275979932952</v>
      </c>
      <c r="J40" s="24">
        <f>((J11*3*180)+(J12*3*180)+(J16*5*180)+(J17*5*180)+(J13*4*180)+(J14*3*120))*(B40/2000)</f>
        <v>2054.8626758957798</v>
      </c>
      <c r="K40" s="24">
        <f>((K11*3*180)+(K12*3*180)+(K16*5*180)+(K17*5*180)+(K13*4*180)+(K14*3*120))*(B40/2000)</f>
        <v>2055.108203286034</v>
      </c>
      <c r="L40" s="24">
        <f>((L11*3*180)+(L12*3*180)+(L16*5*180)+(L17*5*180)+(L13*4*180)+(L14*3*120))*(B40/2000)</f>
        <v>2061.1348981723968</v>
      </c>
      <c r="M40" s="1" t="s">
        <v>47</v>
      </c>
    </row>
    <row r="41" spans="1:13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826</v>
      </c>
      <c r="D41" s="19">
        <f>((D11*0.5*365)+(D16*0.5*365)+(D17*0.5*365)+ (C12*0.5*365)+(D13*0.5*365)+(D14*0.5*120))*(B41/2000)</f>
        <v>1101.9400000000003</v>
      </c>
      <c r="E41" s="19">
        <f>((E11*0.5*365)+(E16*0.5*365)+(E17*0.5*365)+ (D12*0.5*365)+(E13*0.5*365)+(E14*0.5*120))*(B41/2000)</f>
        <v>1221.0835999999999</v>
      </c>
      <c r="F41" s="19">
        <f>((F11*0.5*365)+(F16*0.5*365)+(F17*0.5*365)+ (E12*0.5*365)+(F13*0.5*365)+(F14*0.5*120))*(B41/2000)</f>
        <v>1484.0336280000004</v>
      </c>
      <c r="G41" s="19">
        <f>((G11*0.5*365)+(G16*0.5*365)+(G17*0.5*365)+ (F12*0.5*365)+(G13*0.5*365)+(G14*0.5*120))*(B41/2000)</f>
        <v>1464.10694244</v>
      </c>
      <c r="H41" s="19">
        <f>((H11*0.5*365)+(H16*0.5*365)+(H17*0.5*365)+ (G12*0.5*365)+(H13*0.5*365)+(H14*0.5*120))*(B41/2000)</f>
        <v>1520.9674920412001</v>
      </c>
      <c r="I41" s="19">
        <f>((I11*0.5*365)+(I16*0.5*365)+(I17*0.5*365)+ (H12*0.5*365)+(I13*0.5*365)+(I14*0.5*120))*(B41/2000)</f>
        <v>1574.0940898478759</v>
      </c>
      <c r="J41" s="19">
        <f>((J11*0.5*365)+(J16*0.5*365)+(J17*0.5*365)+ (I12*0.5*365)+(J13*0.5*365)+(J14*0.5*120))*(B41/2000)</f>
        <v>1623.9227277560433</v>
      </c>
      <c r="K41" s="19">
        <f>((K11*0.5*365)+(K16*0.5*365)+(K17*0.5*365)+ (J12*0.5*365)+(K13*0.5*365)+(K14*0.5*120))*(B41/2000)</f>
        <v>1611.3174413800409</v>
      </c>
      <c r="L41" s="19">
        <f>((L11*0.5*365)+(L16*0.5*365)+(L17*0.5*365)+ (K12*0.5*365)+(L13*0.5*365)+(L14*0.5*120))*(B41/2000)</f>
        <v>1631.8219871427627</v>
      </c>
      <c r="M41" s="1" t="s">
        <v>49</v>
      </c>
    </row>
    <row r="42" spans="1:13" x14ac:dyDescent="0.25">
      <c r="A42" s="15" t="s">
        <v>50</v>
      </c>
      <c r="B42" s="22">
        <v>15</v>
      </c>
      <c r="C42" s="19">
        <f>(C11+C16+C12+C17+C13+C14)*B42</f>
        <v>420</v>
      </c>
      <c r="D42" s="19">
        <f>(D11+D16+D12+D17+D13+D14)*B42</f>
        <v>533.40000000000009</v>
      </c>
      <c r="E42" s="19">
        <f>(E11+E16+E12+E17+E13+E14)*B42</f>
        <v>660.096</v>
      </c>
      <c r="F42" s="19">
        <f>(F11+F16+F12+F17+F13+F14)*B42</f>
        <v>708.99108000000001</v>
      </c>
      <c r="G42" s="19">
        <f>(G11+G16+G12+G17+G13+G14)*B42</f>
        <v>718.68567840000003</v>
      </c>
      <c r="H42" s="19">
        <f>(H11+H16+H12+H17+H13+H14)*B42</f>
        <v>725.56411933200002</v>
      </c>
      <c r="I42" s="19">
        <f>(I11+I16+I12+I17+I13+I14)*B42</f>
        <v>757.97090179535996</v>
      </c>
      <c r="J42" s="19">
        <f>(J11+J16+J12+J17+J13+J14)*B42</f>
        <v>773.75107418570269</v>
      </c>
      <c r="K42" s="19">
        <f>(K11+K16+K12+K17+K13+K14)*B42</f>
        <v>775.67851233411352</v>
      </c>
      <c r="L42" s="19">
        <f>(L11+L16+L12+L17+L13+L14)*B42</f>
        <v>779.97213083359679</v>
      </c>
    </row>
    <row r="43" spans="1:13" x14ac:dyDescent="0.25">
      <c r="A43" s="15" t="s">
        <v>51</v>
      </c>
      <c r="B43" s="22">
        <v>10</v>
      </c>
      <c r="C43" s="19">
        <f>(C11+C16+C12+C17+C13+C14)*B43</f>
        <v>280</v>
      </c>
      <c r="D43" s="19">
        <f>(D11+D16+D12+D17+D13+D14)*B43</f>
        <v>355.6</v>
      </c>
      <c r="E43" s="19">
        <f>(E11+E16+E12+E17+E13+E14)*B43</f>
        <v>440.06399999999996</v>
      </c>
      <c r="F43" s="19">
        <f>(F11+F16+F12+F17+F13+F14)*B43</f>
        <v>472.66072000000003</v>
      </c>
      <c r="G43" s="19">
        <f>(G11+G16+G12+G17+G13+G14)*B43</f>
        <v>479.12378560000002</v>
      </c>
      <c r="H43" s="19">
        <f>(H11+H16+H12+H17+H13+H14)*B43</f>
        <v>483.70941288799997</v>
      </c>
      <c r="I43" s="19">
        <f>(I11+I16+I12+I17+I13+I14)*B43</f>
        <v>505.31393453023998</v>
      </c>
      <c r="J43" s="19">
        <f>(J11+J16+J12+J17+J13+J14)*B43</f>
        <v>515.83404945713505</v>
      </c>
      <c r="K43" s="19">
        <f>(K11+K16+K12+K17+K13+K14)*B43</f>
        <v>517.11900822274242</v>
      </c>
      <c r="L43" s="19">
        <f>(L11+L16+L12+L17+L13+L14)*B43</f>
        <v>519.98142055573123</v>
      </c>
    </row>
    <row r="44" spans="1:13" x14ac:dyDescent="0.25">
      <c r="A44" s="15" t="s">
        <v>52</v>
      </c>
      <c r="B44" s="22">
        <v>40</v>
      </c>
      <c r="C44" s="19">
        <f>(C11+C16+C12+C17+C13+C14)*B44</f>
        <v>1120</v>
      </c>
      <c r="D44" s="19">
        <f>(D11+D16+D12+D17+D13+D14)*B44</f>
        <v>1422.4</v>
      </c>
      <c r="E44" s="19">
        <f>(E11+E16+E12+E17+E13+E14)*B44</f>
        <v>1760.2559999999999</v>
      </c>
      <c r="F44" s="19">
        <f>(F11+F16+F12+F17+F13+F14)*B44</f>
        <v>1890.6428800000001</v>
      </c>
      <c r="G44" s="19">
        <f>(G11+G16+G12+G17+G13+G14)*B44</f>
        <v>1916.4951424000001</v>
      </c>
      <c r="H44" s="19">
        <f>(H11+H16+H12+H17+H13+H14)*B44</f>
        <v>1934.8376515519999</v>
      </c>
      <c r="I44" s="19">
        <f>(I11+I16+I12+I17+I13+I14)*B44</f>
        <v>2021.2557381209599</v>
      </c>
      <c r="J44" s="19">
        <f>(J11+J16+J12+J17+J13+J14)*B44</f>
        <v>2063.3361978285402</v>
      </c>
      <c r="K44" s="19">
        <f>(K11+K16+K12+K17+K13+K14)*B44</f>
        <v>2068.4760328909697</v>
      </c>
      <c r="L44" s="19">
        <f>(L11+L16+L12+L17+L13+L14)*B44</f>
        <v>2079.9256822229249</v>
      </c>
    </row>
    <row r="45" spans="1:13" x14ac:dyDescent="0.25">
      <c r="A45" s="15" t="s">
        <v>53</v>
      </c>
      <c r="B45" s="22">
        <v>30</v>
      </c>
      <c r="C45" s="19">
        <f>(C11+C16+C12+C17+C13+C14)*B45</f>
        <v>840</v>
      </c>
      <c r="D45" s="19">
        <f>(D11+D16+D12+D17+D13+D14)*B45</f>
        <v>1066.8000000000002</v>
      </c>
      <c r="E45" s="19">
        <f>(E11+E16+E12+E17+E13+E14)*B45</f>
        <v>1320.192</v>
      </c>
      <c r="F45" s="19">
        <f>(F11+F16+F12+F17+F13+F14)*B45</f>
        <v>1417.98216</v>
      </c>
      <c r="G45" s="19">
        <f>(G11+G16+G12+G17+G13+G14)*B45</f>
        <v>1437.3713568000001</v>
      </c>
      <c r="H45" s="19">
        <f>(H11+H16+H12+H17+H13+H14)*B45</f>
        <v>1451.128238664</v>
      </c>
      <c r="I45" s="19">
        <f>(I11+I16+I12+I17+I13+I14)*B45</f>
        <v>1515.9418035907199</v>
      </c>
      <c r="J45" s="19">
        <f>(J11+J16+J12+J17+J13+J14)*B45</f>
        <v>1547.5021483714054</v>
      </c>
      <c r="K45" s="19">
        <f>(K11+K16+K12+K17+K13+K14)*B45</f>
        <v>1551.357024668227</v>
      </c>
      <c r="L45" s="19">
        <f>(L11+L16+L12+L17+L13+L14)*B45</f>
        <v>1559.9442616671936</v>
      </c>
    </row>
    <row r="46" spans="1:13" x14ac:dyDescent="0.25">
      <c r="A46" s="11" t="s">
        <v>54</v>
      </c>
      <c r="B46" s="11"/>
      <c r="C46" s="19">
        <f>SUM(C36:C45)</f>
        <v>12206.8</v>
      </c>
      <c r="D46" s="14">
        <f t="shared" ref="D46:L46" si="20">SUM(D36:D45)</f>
        <v>15041.116000000002</v>
      </c>
      <c r="E46" s="14">
        <f t="shared" si="20"/>
        <v>17660.0916</v>
      </c>
      <c r="F46" s="14">
        <f t="shared" si="20"/>
        <v>19108.425588000002</v>
      </c>
      <c r="G46" s="14">
        <f t="shared" si="20"/>
        <v>19232.091612839999</v>
      </c>
      <c r="H46" s="14">
        <f t="shared" si="20"/>
        <v>19514.282000293202</v>
      </c>
      <c r="I46" s="14">
        <f t="shared" si="20"/>
        <v>20380.030300604831</v>
      </c>
      <c r="J46" s="14">
        <f t="shared" si="20"/>
        <v>20869.52492665737</v>
      </c>
      <c r="K46" s="14">
        <f t="shared" si="20"/>
        <v>20918.522775349582</v>
      </c>
      <c r="L46" s="14">
        <f t="shared" si="20"/>
        <v>21112.973957949816</v>
      </c>
    </row>
    <row r="47" spans="1:13" x14ac:dyDescent="0.25">
      <c r="A47" s="15" t="s">
        <v>55</v>
      </c>
      <c r="B47" s="15"/>
      <c r="C47" s="19">
        <f t="shared" ref="C47:L47" si="21">C46/(C11+C16+C13+C14)</f>
        <v>530.73043478260865</v>
      </c>
      <c r="D47" s="19">
        <f t="shared" si="21"/>
        <v>474.78270202020207</v>
      </c>
      <c r="E47" s="19">
        <f t="shared" si="21"/>
        <v>487.22332700626816</v>
      </c>
      <c r="F47" s="19">
        <f t="shared" si="21"/>
        <v>495.48399753020681</v>
      </c>
      <c r="G47" s="19">
        <f t="shared" si="21"/>
        <v>501.91878453358078</v>
      </c>
      <c r="H47" s="19">
        <f t="shared" si="21"/>
        <v>505.01946695099713</v>
      </c>
      <c r="I47" s="19">
        <f t="shared" si="21"/>
        <v>500.73441816998599</v>
      </c>
      <c r="J47" s="19">
        <f t="shared" si="21"/>
        <v>503.01844605902033</v>
      </c>
      <c r="K47" s="19">
        <f t="shared" si="21"/>
        <v>506.38796217328729</v>
      </c>
      <c r="L47" s="19">
        <f t="shared" si="21"/>
        <v>507.55876907544371</v>
      </c>
    </row>
    <row r="48" spans="1:13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3" x14ac:dyDescent="0.25">
      <c r="A49" s="11" t="s">
        <v>56</v>
      </c>
      <c r="B49" s="11"/>
      <c r="C49" s="19">
        <f>C32-C46</f>
        <v>-9756.7999999999993</v>
      </c>
      <c r="D49" s="19">
        <f t="shared" ref="D49:L49" si="22">D32-D46</f>
        <v>-9123.5160000000014</v>
      </c>
      <c r="E49" s="19">
        <f t="shared" si="22"/>
        <v>358.59639999999854</v>
      </c>
      <c r="F49" s="19">
        <f t="shared" si="22"/>
        <v>13228.951652</v>
      </c>
      <c r="G49" s="19">
        <f t="shared" si="22"/>
        <v>10983.788582360005</v>
      </c>
      <c r="H49" s="19">
        <f t="shared" si="22"/>
        <v>10948.1945885028</v>
      </c>
      <c r="I49" s="19">
        <f t="shared" si="22"/>
        <v>12974.244416665253</v>
      </c>
      <c r="J49" s="19">
        <f t="shared" si="22"/>
        <v>19494.593392161059</v>
      </c>
      <c r="K49" s="19">
        <f t="shared" si="22"/>
        <v>21189.399423695602</v>
      </c>
      <c r="L49" s="19">
        <f t="shared" si="22"/>
        <v>22818.648303559454</v>
      </c>
    </row>
    <row r="50" spans="1:13" x14ac:dyDescent="0.25">
      <c r="A50" s="15" t="s">
        <v>57</v>
      </c>
      <c r="B50" s="15"/>
      <c r="C50" s="19">
        <f t="shared" ref="C50:L50" si="23">C49/(C16+C11)</f>
        <v>-650.45333333333326</v>
      </c>
      <c r="D50" s="19">
        <f t="shared" si="23"/>
        <v>-460.78363636363645</v>
      </c>
      <c r="E50" s="19">
        <f t="shared" si="23"/>
        <v>15.989922591231696</v>
      </c>
      <c r="F50" s="19">
        <f t="shared" si="23"/>
        <v>553.50632210378183</v>
      </c>
      <c r="G50" s="19">
        <f t="shared" si="23"/>
        <v>470.91512777324084</v>
      </c>
      <c r="H50" s="19">
        <f t="shared" si="23"/>
        <v>463.26240383736854</v>
      </c>
      <c r="I50" s="19">
        <f t="shared" si="23"/>
        <v>517.66638014440787</v>
      </c>
      <c r="J50" s="19">
        <f t="shared" si="23"/>
        <v>762.03135480676565</v>
      </c>
      <c r="K50" s="19">
        <f t="shared" si="23"/>
        <v>835.30029887239175</v>
      </c>
      <c r="L50" s="19">
        <f t="shared" si="23"/>
        <v>896.1583170128556</v>
      </c>
    </row>
    <row r="51" spans="1:13" x14ac:dyDescent="0.25">
      <c r="A51" s="16" t="s">
        <v>58</v>
      </c>
      <c r="B51" s="16"/>
      <c r="C51" s="17">
        <f>(C49/(((C11+C12+C13)*C26)+((C16+C17)*C29)+(((C14*0.5)-C21)*C22)+D8))*100</f>
        <v>-11.615238095238094</v>
      </c>
      <c r="D51" s="17">
        <f>(D49/(((D11+D12+D13)*D26)+((D16+D17)*D29)+(((D14*0.5)-D21)*D22)+E8))*100</f>
        <v>-7.2990930851744729</v>
      </c>
      <c r="E51" s="17">
        <f t="shared" ref="E51:L51" si="24">(E49/(((E11+E12+E13)*E26)+((E16+E17)*E29)+(((E14*0.5)-E21)*E22)+F8))*100</f>
        <v>0.36594747978441183</v>
      </c>
      <c r="F51" s="17">
        <f t="shared" si="24"/>
        <v>11.428317131388056</v>
      </c>
      <c r="G51" s="17">
        <f t="shared" si="24"/>
        <v>9.1379470921746204</v>
      </c>
      <c r="H51" s="17">
        <f t="shared" si="24"/>
        <v>8.4516752805617497</v>
      </c>
      <c r="I51" s="17">
        <f t="shared" si="24"/>
        <v>9.2162491633275163</v>
      </c>
      <c r="J51" s="17">
        <f t="shared" si="24"/>
        <v>12.71788740503132</v>
      </c>
      <c r="K51" s="17">
        <f t="shared" si="24"/>
        <v>13.201887243853639</v>
      </c>
      <c r="L51" s="17">
        <f t="shared" si="24"/>
        <v>13.549106423666867</v>
      </c>
      <c r="M51" s="27">
        <f>SUM(C51:L51)/10</f>
        <v>5.9154686039375619</v>
      </c>
    </row>
    <row r="52" spans="1:13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3" x14ac:dyDescent="0.25">
      <c r="A53" s="5" t="s">
        <v>88</v>
      </c>
      <c r="C53" s="26">
        <f>(C32-C46)/A8*100</f>
        <v>-8.7583482944344695</v>
      </c>
      <c r="D53" s="26">
        <f>((D32-D46))/A8*100</f>
        <v>-8.1898707360861778</v>
      </c>
      <c r="E53" s="26">
        <f>((E32-E46))/A8*100</f>
        <v>0.32189982046678506</v>
      </c>
      <c r="F53" s="26">
        <f>((F32-F46))/A8*100</f>
        <v>11.875181016157988</v>
      </c>
      <c r="G53" s="26">
        <f>((G32-G46))/A8*100</f>
        <v>9.8597743109156237</v>
      </c>
      <c r="H53" s="26">
        <f>((H32-H46))/A8*100</f>
        <v>9.8278227903974855</v>
      </c>
      <c r="I53" s="26">
        <f>((I32-I46))/A8*100</f>
        <v>11.646538973667193</v>
      </c>
      <c r="J53" s="26">
        <f>((J32-J46))/A8*100</f>
        <v>17.499635001939907</v>
      </c>
      <c r="K53" s="26">
        <f>((K32-K46))/A8*100</f>
        <v>19.021004868667507</v>
      </c>
      <c r="L53" s="26">
        <f>((L32-L46))/A8*100</f>
        <v>20.483526304811001</v>
      </c>
      <c r="M53" s="30">
        <f>SUM(C53:L53)/10</f>
        <v>8.3587164056502843</v>
      </c>
    </row>
    <row r="54" spans="1:13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L19</f>
        <v>130066.30096622367</v>
      </c>
      <c r="C56" s="29"/>
    </row>
    <row r="57" spans="1:13" x14ac:dyDescent="0.25">
      <c r="A57" s="1" t="s">
        <v>61</v>
      </c>
      <c r="B57" s="34">
        <f>(C8+D8)*0.5</f>
        <v>33200</v>
      </c>
      <c r="C57" s="29">
        <v>0.5</v>
      </c>
    </row>
    <row r="58" spans="1:13" x14ac:dyDescent="0.25">
      <c r="A58" s="5" t="s">
        <v>62</v>
      </c>
      <c r="B58" s="33">
        <f>SUM(B56:B57)</f>
        <v>163266.30096622367</v>
      </c>
      <c r="D58" s="19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J5" sqref="J5"/>
    </sheetView>
  </sheetViews>
  <sheetFormatPr defaultColWidth="11.42578125" defaultRowHeight="15.75" x14ac:dyDescent="0.25"/>
  <cols>
    <col min="1" max="1" width="27.5703125" style="1" customWidth="1"/>
    <col min="2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2" width="13.140625" style="1" customWidth="1"/>
    <col min="13" max="13" width="12.7109375" style="1" customWidth="1"/>
    <col min="14" max="22" width="10.7109375" style="1" customWidth="1"/>
    <col min="23" max="16384" width="11.42578125" style="1"/>
  </cols>
  <sheetData>
    <row r="1" spans="1:14" ht="23.25" x14ac:dyDescent="0.35">
      <c r="E1" s="2" t="s">
        <v>0</v>
      </c>
      <c r="N1" s="3" t="s">
        <v>1</v>
      </c>
    </row>
    <row r="2" spans="1:14" ht="23.25" x14ac:dyDescent="0.35">
      <c r="E2" s="2"/>
      <c r="N2" s="1" t="s">
        <v>2</v>
      </c>
    </row>
    <row r="3" spans="1:14" ht="18.75" x14ac:dyDescent="0.3">
      <c r="A3" s="4" t="s">
        <v>3</v>
      </c>
      <c r="B3" s="4"/>
      <c r="N3" s="1" t="s">
        <v>4</v>
      </c>
    </row>
    <row r="4" spans="1:14" x14ac:dyDescent="0.25">
      <c r="A4" s="5"/>
      <c r="B4" s="5"/>
      <c r="I4" s="6"/>
      <c r="L4" s="6"/>
      <c r="M4" s="6"/>
      <c r="N4" s="1" t="s">
        <v>5</v>
      </c>
    </row>
    <row r="5" spans="1:14" x14ac:dyDescent="0.25">
      <c r="A5" s="5" t="s">
        <v>6</v>
      </c>
      <c r="B5" s="5"/>
      <c r="I5" s="6"/>
      <c r="N5" s="1" t="s">
        <v>7</v>
      </c>
    </row>
    <row r="6" spans="1:14" x14ac:dyDescent="0.25">
      <c r="I6" s="6"/>
      <c r="J6" s="6"/>
      <c r="N6" s="1" t="s">
        <v>8</v>
      </c>
    </row>
    <row r="7" spans="1:14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H7" s="7"/>
      <c r="J7" s="7"/>
      <c r="L7" s="7"/>
      <c r="N7" s="1" t="s">
        <v>13</v>
      </c>
    </row>
    <row r="8" spans="1:14" s="5" customFormat="1" x14ac:dyDescent="0.25">
      <c r="A8" s="32">
        <f>SUM(C8:G8)</f>
        <v>66400</v>
      </c>
      <c r="B8" s="32"/>
      <c r="C8" s="31">
        <v>40000</v>
      </c>
      <c r="D8" s="31">
        <v>26400</v>
      </c>
      <c r="E8" s="33">
        <v>0</v>
      </c>
      <c r="H8" s="7"/>
      <c r="J8" s="7"/>
      <c r="K8" s="9"/>
      <c r="L8" s="10"/>
      <c r="N8" s="1" t="s">
        <v>14</v>
      </c>
    </row>
    <row r="9" spans="1:14" s="5" customFormat="1" x14ac:dyDescent="0.25">
      <c r="A9" s="7"/>
      <c r="B9" s="7"/>
      <c r="D9" s="8"/>
      <c r="F9" s="8"/>
      <c r="H9" s="7"/>
      <c r="J9" s="7"/>
      <c r="K9" s="9"/>
      <c r="L9" s="10"/>
      <c r="N9" s="5" t="s">
        <v>15</v>
      </c>
    </row>
    <row r="10" spans="1:14" x14ac:dyDescent="0.25">
      <c r="A10" s="11" t="s">
        <v>16</v>
      </c>
      <c r="B10" s="11" t="s">
        <v>17</v>
      </c>
      <c r="C10" s="8">
        <v>1</v>
      </c>
      <c r="D10" s="8">
        <f>SUM(C10+1)</f>
        <v>2</v>
      </c>
      <c r="E10" s="8">
        <f t="shared" ref="E10:L10" si="0">SUM(D10+1)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</row>
    <row r="11" spans="1:14" x14ac:dyDescent="0.25">
      <c r="A11" s="12" t="s">
        <v>18</v>
      </c>
      <c r="B11" s="12"/>
      <c r="C11" s="13">
        <v>10</v>
      </c>
      <c r="D11" s="14">
        <f t="shared" ref="D11:L11" si="1">(C11+C12)-C25</f>
        <v>10</v>
      </c>
      <c r="E11" s="14">
        <f t="shared" si="1"/>
        <v>9</v>
      </c>
      <c r="F11" s="14">
        <f t="shared" si="1"/>
        <v>8.85</v>
      </c>
      <c r="G11" s="14">
        <f t="shared" si="1"/>
        <v>8.6999999999999993</v>
      </c>
      <c r="H11" s="14">
        <f t="shared" si="1"/>
        <v>9.3681249999999991</v>
      </c>
      <c r="I11" s="14">
        <f t="shared" si="1"/>
        <v>8.9780499999999996</v>
      </c>
      <c r="J11" s="14">
        <f t="shared" si="1"/>
        <v>9.4856703124999981</v>
      </c>
      <c r="K11" s="14">
        <f t="shared" si="1"/>
        <v>9.2384096249999974</v>
      </c>
      <c r="L11" s="14">
        <f t="shared" si="1"/>
        <v>8.8149909507812474</v>
      </c>
    </row>
    <row r="12" spans="1:14" x14ac:dyDescent="0.25">
      <c r="A12" s="12" t="s">
        <v>19</v>
      </c>
      <c r="B12" s="12"/>
      <c r="C12" s="13">
        <v>4</v>
      </c>
      <c r="D12" s="14">
        <f t="shared" ref="D12:L12" si="2">C13</f>
        <v>4</v>
      </c>
      <c r="E12" s="14">
        <f t="shared" si="2"/>
        <v>4.8499999999999996</v>
      </c>
      <c r="F12" s="14">
        <f t="shared" si="2"/>
        <v>4.8499999999999996</v>
      </c>
      <c r="G12" s="14">
        <f t="shared" si="2"/>
        <v>4.6681249999999999</v>
      </c>
      <c r="H12" s="14">
        <f t="shared" si="2"/>
        <v>4.6099249999999996</v>
      </c>
      <c r="I12" s="14">
        <f t="shared" si="2"/>
        <v>4.5076203124999994</v>
      </c>
      <c r="J12" s="14">
        <f t="shared" si="2"/>
        <v>4.7527393124999993</v>
      </c>
      <c r="K12" s="14">
        <f t="shared" si="2"/>
        <v>4.5765813257812491</v>
      </c>
      <c r="L12" s="14">
        <f t="shared" si="2"/>
        <v>4.8329793645312495</v>
      </c>
    </row>
    <row r="13" spans="1:14" x14ac:dyDescent="0.25">
      <c r="A13" s="12" t="s">
        <v>20</v>
      </c>
      <c r="B13" s="12"/>
      <c r="C13" s="13">
        <v>4</v>
      </c>
      <c r="D13" s="14">
        <f t="shared" ref="D13:L13" si="3">(C14*0.5)*0.97</f>
        <v>4.8499999999999996</v>
      </c>
      <c r="E13" s="14">
        <f t="shared" si="3"/>
        <v>4.8499999999999996</v>
      </c>
      <c r="F13" s="14">
        <f t="shared" si="3"/>
        <v>4.6681249999999999</v>
      </c>
      <c r="G13" s="14">
        <f t="shared" si="3"/>
        <v>4.6099249999999996</v>
      </c>
      <c r="H13" s="14">
        <f t="shared" si="3"/>
        <v>4.5076203124999994</v>
      </c>
      <c r="I13" s="14">
        <f t="shared" si="3"/>
        <v>4.7527393124999993</v>
      </c>
      <c r="J13" s="14">
        <f t="shared" si="3"/>
        <v>4.5765813257812491</v>
      </c>
      <c r="K13" s="14">
        <f t="shared" si="3"/>
        <v>4.8329793645312495</v>
      </c>
      <c r="L13" s="14">
        <f t="shared" si="3"/>
        <v>4.6943239060019524</v>
      </c>
    </row>
    <row r="14" spans="1:14" x14ac:dyDescent="0.25">
      <c r="A14" s="15" t="s">
        <v>21</v>
      </c>
      <c r="B14" s="15"/>
      <c r="C14" s="14">
        <f t="shared" ref="C14:L14" si="4">((C11*C15)+(C12*0.5))</f>
        <v>10</v>
      </c>
      <c r="D14" s="14">
        <f t="shared" si="4"/>
        <v>10</v>
      </c>
      <c r="E14" s="14">
        <f t="shared" si="4"/>
        <v>9.625</v>
      </c>
      <c r="F14" s="14">
        <f t="shared" si="4"/>
        <v>9.504999999999999</v>
      </c>
      <c r="G14" s="14">
        <f t="shared" si="4"/>
        <v>9.294062499999999</v>
      </c>
      <c r="H14" s="14">
        <f t="shared" si="4"/>
        <v>9.7994624999999989</v>
      </c>
      <c r="I14" s="14">
        <f t="shared" si="4"/>
        <v>9.436250156249999</v>
      </c>
      <c r="J14" s="14">
        <f t="shared" si="4"/>
        <v>9.9649059062499994</v>
      </c>
      <c r="K14" s="14">
        <f t="shared" si="4"/>
        <v>9.6790183628906235</v>
      </c>
      <c r="L14" s="14">
        <f t="shared" si="4"/>
        <v>9.4684824428906218</v>
      </c>
    </row>
    <row r="15" spans="1:14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  <c r="H15" s="17">
        <v>0.8</v>
      </c>
      <c r="I15" s="17">
        <v>0.8</v>
      </c>
      <c r="J15" s="17">
        <v>0.8</v>
      </c>
      <c r="K15" s="17">
        <v>0.8</v>
      </c>
      <c r="L15" s="17">
        <v>0.8</v>
      </c>
    </row>
    <row r="16" spans="1:14" x14ac:dyDescent="0.25">
      <c r="A16" s="15" t="s">
        <v>23</v>
      </c>
      <c r="B16" s="15"/>
      <c r="C16" s="18">
        <v>17</v>
      </c>
      <c r="D16" s="14">
        <f t="shared" ref="D16:L16" si="5">((C16+C17)-(C23+C28))*0.98</f>
        <v>15.68</v>
      </c>
      <c r="E16" s="14">
        <f t="shared" si="5"/>
        <v>16.199400000000001</v>
      </c>
      <c r="F16" s="14">
        <f t="shared" si="5"/>
        <v>16.708411999999999</v>
      </c>
      <c r="G16" s="14">
        <f t="shared" si="5"/>
        <v>17.029006259999999</v>
      </c>
      <c r="H16" s="14">
        <f t="shared" si="5"/>
        <v>17.286152634800001</v>
      </c>
      <c r="I16" s="14">
        <f t="shared" si="5"/>
        <v>16.457897488354</v>
      </c>
      <c r="J16" s="14">
        <f t="shared" si="5"/>
        <v>15.886424064836918</v>
      </c>
      <c r="K16" s="14">
        <f t="shared" si="5"/>
        <v>16.133745282805805</v>
      </c>
      <c r="L16" s="14">
        <f t="shared" si="5"/>
        <v>15.647390154390312</v>
      </c>
    </row>
    <row r="17" spans="1:20" x14ac:dyDescent="0.25">
      <c r="A17" s="12" t="s">
        <v>24</v>
      </c>
      <c r="B17" s="12"/>
      <c r="C17" s="13">
        <v>4</v>
      </c>
      <c r="D17" s="14">
        <f t="shared" ref="D17:L17" si="6">(C14*0.5)*0.97</f>
        <v>4.8499999999999996</v>
      </c>
      <c r="E17" s="14">
        <f t="shared" si="6"/>
        <v>4.8499999999999996</v>
      </c>
      <c r="F17" s="14">
        <f t="shared" si="6"/>
        <v>4.6681249999999999</v>
      </c>
      <c r="G17" s="14">
        <f t="shared" si="6"/>
        <v>4.6099249999999996</v>
      </c>
      <c r="H17" s="14">
        <f t="shared" si="6"/>
        <v>4.5076203124999994</v>
      </c>
      <c r="I17" s="14">
        <f t="shared" si="6"/>
        <v>4.7527393124999993</v>
      </c>
      <c r="J17" s="14">
        <f t="shared" si="6"/>
        <v>4.5765813257812491</v>
      </c>
      <c r="K17" s="14">
        <f t="shared" si="6"/>
        <v>4.8329793645312495</v>
      </c>
      <c r="L17" s="14">
        <f t="shared" si="6"/>
        <v>4.6943239060019524</v>
      </c>
    </row>
    <row r="18" spans="1:20" x14ac:dyDescent="0.25">
      <c r="A18" s="15" t="s">
        <v>25</v>
      </c>
      <c r="B18" s="15"/>
      <c r="C18" s="14">
        <f t="shared" ref="C18:L18" si="7">SUM(C11:C17)</f>
        <v>49.8</v>
      </c>
      <c r="D18" s="14">
        <f t="shared" si="7"/>
        <v>50.18</v>
      </c>
      <c r="E18" s="14">
        <f t="shared" si="7"/>
        <v>50.174399999999999</v>
      </c>
      <c r="F18" s="14">
        <f t="shared" si="7"/>
        <v>50.049661999999998</v>
      </c>
      <c r="G18" s="14">
        <f t="shared" si="7"/>
        <v>49.711043759999995</v>
      </c>
      <c r="H18" s="14">
        <f t="shared" si="7"/>
        <v>50.878905759799999</v>
      </c>
      <c r="I18" s="14">
        <f t="shared" si="7"/>
        <v>49.685296582103987</v>
      </c>
      <c r="J18" s="14">
        <f t="shared" si="7"/>
        <v>50.042902247649415</v>
      </c>
      <c r="K18" s="14">
        <f t="shared" si="7"/>
        <v>50.093713325540172</v>
      </c>
      <c r="L18" s="14">
        <f t="shared" si="7"/>
        <v>48.95249072459734</v>
      </c>
    </row>
    <row r="19" spans="1:20" x14ac:dyDescent="0.25">
      <c r="A19" s="15" t="s">
        <v>26</v>
      </c>
      <c r="B19" s="15"/>
      <c r="C19" s="19">
        <f t="shared" ref="C19:D19" si="8">SUM(C11*C26)+((C16*0.25)*C24)+(C16*0.75*C24)+(C13*C22)+(C14*C22)+(C12*0.85*C26)+(C17*1000)</f>
        <v>52000</v>
      </c>
      <c r="D19" s="19">
        <f t="shared" si="8"/>
        <v>58332</v>
      </c>
      <c r="E19" s="19">
        <f>SUM(E11*E26)+((E16*0.25)*E24)+(E16*0.75*E24)+(E13*E22)+(E14*E22)+(E12*0.85*E26)+(E17*1000)</f>
        <v>61031.803750000006</v>
      </c>
      <c r="F19" s="19">
        <f t="shared" ref="F19:L19" si="9">SUM(F11*F26)+((F16*0.25)*F24)+(F16*0.75*F24)+(F13*F22)+(F14*F22)+(F12*0.85*F26)+(F17*1000)</f>
        <v>64039.717274750001</v>
      </c>
      <c r="G19" s="19">
        <f t="shared" si="9"/>
        <v>66859.845998666191</v>
      </c>
      <c r="H19" s="19">
        <f t="shared" si="9"/>
        <v>71626.899005036379</v>
      </c>
      <c r="I19" s="19">
        <f t="shared" si="9"/>
        <v>72785.197362673876</v>
      </c>
      <c r="J19" s="19">
        <f t="shared" si="9"/>
        <v>76265.207971612617</v>
      </c>
      <c r="K19" s="19">
        <f t="shared" si="9"/>
        <v>80037.228414126337</v>
      </c>
      <c r="L19" s="19">
        <f t="shared" si="9"/>
        <v>81698.401450969614</v>
      </c>
    </row>
    <row r="20" spans="1:20" x14ac:dyDescent="0.25">
      <c r="A20" s="11" t="s">
        <v>27</v>
      </c>
      <c r="B20" s="11"/>
    </row>
    <row r="21" spans="1:20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20" x14ac:dyDescent="0.25">
      <c r="A22" s="15" t="s">
        <v>29</v>
      </c>
      <c r="B22" s="15"/>
      <c r="C22" s="19">
        <v>650</v>
      </c>
      <c r="D22" s="19">
        <v>1000</v>
      </c>
      <c r="E22" s="19">
        <f t="shared" ref="E22:L22" si="10">D22*1.05</f>
        <v>1050</v>
      </c>
      <c r="F22" s="19">
        <f t="shared" si="10"/>
        <v>1102.5</v>
      </c>
      <c r="G22" s="19">
        <f t="shared" si="10"/>
        <v>1157.625</v>
      </c>
      <c r="H22" s="19">
        <f t="shared" si="10"/>
        <v>1215.5062500000001</v>
      </c>
      <c r="I22" s="19">
        <f t="shared" si="10"/>
        <v>1276.2815625000003</v>
      </c>
      <c r="J22" s="19">
        <f t="shared" si="10"/>
        <v>1340.0956406250004</v>
      </c>
      <c r="K22" s="19">
        <f t="shared" si="10"/>
        <v>1407.1004226562504</v>
      </c>
      <c r="L22" s="19">
        <f t="shared" si="10"/>
        <v>1477.4554437890631</v>
      </c>
    </row>
    <row r="23" spans="1:20" x14ac:dyDescent="0.25">
      <c r="A23" s="12" t="s">
        <v>30</v>
      </c>
      <c r="B23" s="12"/>
      <c r="C23" s="13">
        <v>5</v>
      </c>
      <c r="D23" s="13">
        <v>4</v>
      </c>
      <c r="E23" s="13">
        <v>4</v>
      </c>
      <c r="F23" s="13">
        <v>4</v>
      </c>
      <c r="G23" s="13">
        <v>4</v>
      </c>
      <c r="H23" s="13">
        <v>5</v>
      </c>
      <c r="I23" s="13">
        <v>5</v>
      </c>
      <c r="J23" s="13">
        <v>4</v>
      </c>
      <c r="K23" s="13">
        <v>5</v>
      </c>
      <c r="L23" s="13">
        <v>4</v>
      </c>
    </row>
    <row r="24" spans="1:20" x14ac:dyDescent="0.25">
      <c r="A24" s="12" t="s">
        <v>31</v>
      </c>
      <c r="B24" s="12"/>
      <c r="C24" s="19">
        <v>1500</v>
      </c>
      <c r="D24" s="19">
        <f>C24*1.05</f>
        <v>1575</v>
      </c>
      <c r="E24" s="19">
        <f t="shared" ref="E24:L24" si="11">D24*1.05</f>
        <v>1653.75</v>
      </c>
      <c r="F24" s="19">
        <f t="shared" si="11"/>
        <v>1736.4375</v>
      </c>
      <c r="G24" s="19">
        <f t="shared" si="11"/>
        <v>1823.2593750000001</v>
      </c>
      <c r="H24" s="19">
        <f t="shared" si="11"/>
        <v>1914.4223437500002</v>
      </c>
      <c r="I24" s="19">
        <f t="shared" si="11"/>
        <v>2010.1434609375003</v>
      </c>
      <c r="J24" s="19">
        <f t="shared" si="11"/>
        <v>2110.6506339843754</v>
      </c>
      <c r="K24" s="19">
        <f t="shared" si="11"/>
        <v>2216.1831656835943</v>
      </c>
      <c r="L24" s="19">
        <f t="shared" si="11"/>
        <v>2326.9923239677742</v>
      </c>
      <c r="T24" s="14"/>
    </row>
    <row r="25" spans="1:20" x14ac:dyDescent="0.25">
      <c r="A25" s="15" t="s">
        <v>32</v>
      </c>
      <c r="B25" s="15"/>
      <c r="C25" s="18">
        <v>4</v>
      </c>
      <c r="D25" s="18">
        <v>5</v>
      </c>
      <c r="E25" s="18">
        <v>5</v>
      </c>
      <c r="F25" s="18">
        <v>5</v>
      </c>
      <c r="G25" s="18">
        <v>4</v>
      </c>
      <c r="H25" s="18">
        <v>5</v>
      </c>
      <c r="I25" s="18">
        <v>4</v>
      </c>
      <c r="J25" s="18">
        <v>5</v>
      </c>
      <c r="K25" s="18">
        <v>5</v>
      </c>
      <c r="L25" s="18">
        <v>5</v>
      </c>
    </row>
    <row r="26" spans="1:20" x14ac:dyDescent="0.25">
      <c r="A26" s="15" t="s">
        <v>33</v>
      </c>
      <c r="B26" s="15"/>
      <c r="C26" s="19">
        <v>1000</v>
      </c>
      <c r="D26" s="19">
        <f>C26*1.04</f>
        <v>1040</v>
      </c>
      <c r="E26" s="19">
        <f>D26*1.04</f>
        <v>1081.6000000000001</v>
      </c>
      <c r="F26" s="19">
        <f t="shared" ref="F26:L26" si="12">E26*1.05</f>
        <v>1135.6800000000003</v>
      </c>
      <c r="G26" s="19">
        <f t="shared" si="12"/>
        <v>1192.4640000000004</v>
      </c>
      <c r="H26" s="19">
        <f t="shared" si="12"/>
        <v>1252.0872000000004</v>
      </c>
      <c r="I26" s="19">
        <f t="shared" si="12"/>
        <v>1314.6915600000004</v>
      </c>
      <c r="J26" s="19">
        <f t="shared" si="12"/>
        <v>1380.4261380000005</v>
      </c>
      <c r="K26" s="19">
        <f t="shared" si="12"/>
        <v>1449.4474449000006</v>
      </c>
      <c r="L26" s="19">
        <f t="shared" si="12"/>
        <v>1521.9198171450007</v>
      </c>
    </row>
    <row r="27" spans="1:20" x14ac:dyDescent="0.25">
      <c r="A27" s="12" t="s">
        <v>34</v>
      </c>
      <c r="B27" s="12"/>
      <c r="C27" s="14">
        <f>C18*0.02</f>
        <v>0.996</v>
      </c>
      <c r="D27" s="14">
        <f t="shared" ref="D27:L27" si="13">D18*0.02</f>
        <v>1.0036</v>
      </c>
      <c r="E27" s="14">
        <f t="shared" si="13"/>
        <v>1.0034879999999999</v>
      </c>
      <c r="F27" s="14">
        <f t="shared" si="13"/>
        <v>1.0009932399999999</v>
      </c>
      <c r="G27" s="14">
        <f t="shared" si="13"/>
        <v>0.99422087519999991</v>
      </c>
      <c r="H27" s="14">
        <f t="shared" si="13"/>
        <v>1.0175781151959999</v>
      </c>
      <c r="I27" s="14">
        <f t="shared" si="13"/>
        <v>0.99370593164207976</v>
      </c>
      <c r="J27" s="14">
        <f t="shared" si="13"/>
        <v>1.0008580449529882</v>
      </c>
      <c r="K27" s="14">
        <f t="shared" si="13"/>
        <v>1.0018742665108034</v>
      </c>
      <c r="L27" s="14">
        <f t="shared" si="13"/>
        <v>0.97904981449194683</v>
      </c>
    </row>
    <row r="28" spans="1:20" x14ac:dyDescent="0.25">
      <c r="A28" s="12" t="s">
        <v>35</v>
      </c>
      <c r="B28" s="12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20" x14ac:dyDescent="0.25">
      <c r="A29" s="12" t="s">
        <v>36</v>
      </c>
      <c r="B29" s="12"/>
      <c r="C29" s="19">
        <v>4500</v>
      </c>
      <c r="D29" s="19">
        <f t="shared" ref="D29:L29" si="14">C29*1.05</f>
        <v>4725</v>
      </c>
      <c r="E29" s="19">
        <f t="shared" si="14"/>
        <v>4961.25</v>
      </c>
      <c r="F29" s="19">
        <f t="shared" si="14"/>
        <v>5209.3125</v>
      </c>
      <c r="G29" s="19">
        <f t="shared" si="14"/>
        <v>5469.7781249999998</v>
      </c>
      <c r="H29" s="19">
        <f t="shared" si="14"/>
        <v>5743.2670312500004</v>
      </c>
      <c r="I29" s="19">
        <f t="shared" si="14"/>
        <v>6030.4303828125003</v>
      </c>
      <c r="J29" s="19">
        <f t="shared" si="14"/>
        <v>6331.9519019531253</v>
      </c>
      <c r="K29" s="19">
        <f t="shared" si="14"/>
        <v>6648.5494970507816</v>
      </c>
      <c r="L29" s="19">
        <f t="shared" si="14"/>
        <v>6980.9769719033211</v>
      </c>
    </row>
    <row r="30" spans="1:20" x14ac:dyDescent="0.25">
      <c r="A30" s="15" t="s">
        <v>37</v>
      </c>
      <c r="B30" s="15"/>
      <c r="C30" s="20">
        <f t="shared" ref="C30:E30" si="15">((C16-C28)*25)+(C17*4)</f>
        <v>441</v>
      </c>
      <c r="D30" s="20">
        <f t="shared" si="15"/>
        <v>411.4</v>
      </c>
      <c r="E30" s="20">
        <f t="shared" si="15"/>
        <v>424.38499999999999</v>
      </c>
      <c r="F30" s="20">
        <f>((F16-F28)*25)+(F17*4)</f>
        <v>436.38279999999997</v>
      </c>
      <c r="G30" s="20">
        <f t="shared" ref="G30:L30" si="16">((G16-G28)*25)+(G17*4)</f>
        <v>444.16485649999998</v>
      </c>
      <c r="H30" s="20">
        <f t="shared" si="16"/>
        <v>450.18429712</v>
      </c>
      <c r="I30" s="20">
        <f t="shared" si="16"/>
        <v>430.45839445884997</v>
      </c>
      <c r="J30" s="20">
        <f t="shared" si="16"/>
        <v>415.46692692404793</v>
      </c>
      <c r="K30" s="20">
        <f t="shared" si="16"/>
        <v>422.67554952827015</v>
      </c>
      <c r="L30" s="20">
        <f t="shared" si="16"/>
        <v>409.96204948376561</v>
      </c>
    </row>
    <row r="31" spans="1:20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  <c r="H31" s="21">
        <v>35</v>
      </c>
      <c r="I31" s="21">
        <v>35</v>
      </c>
      <c r="J31" s="21">
        <v>35</v>
      </c>
      <c r="K31" s="21">
        <v>35</v>
      </c>
      <c r="L31" s="21">
        <v>35</v>
      </c>
    </row>
    <row r="32" spans="1:20" x14ac:dyDescent="0.25">
      <c r="A32" s="11" t="s">
        <v>39</v>
      </c>
      <c r="B32" s="11"/>
      <c r="C32" s="19">
        <f>(C21*C22)+(C23*C24)+(C25*C26)+(C28*C29)+(C30*C31)</f>
        <v>26935</v>
      </c>
      <c r="D32" s="19">
        <f t="shared" ref="D32:L32" si="17">(D21*D22)+(D23*D24)+(D25*D26)+(D28*D29)+(D30*D31)</f>
        <v>25899</v>
      </c>
      <c r="E32" s="19">
        <f t="shared" si="17"/>
        <v>26876.474999999999</v>
      </c>
      <c r="F32" s="19">
        <f t="shared" si="17"/>
        <v>27897.548000000003</v>
      </c>
      <c r="G32" s="19">
        <f t="shared" si="17"/>
        <v>27608.663477500002</v>
      </c>
      <c r="H32" s="19">
        <f t="shared" si="17"/>
        <v>31588.998117950003</v>
      </c>
      <c r="I32" s="19">
        <f t="shared" si="17"/>
        <v>30375.527350747252</v>
      </c>
      <c r="J32" s="19">
        <f t="shared" si="17"/>
        <v>29886.075668279183</v>
      </c>
      <c r="K32" s="19">
        <f t="shared" si="17"/>
        <v>33121.797286407433</v>
      </c>
      <c r="L32" s="19">
        <f t="shared" si="17"/>
        <v>31266.2401135279</v>
      </c>
    </row>
    <row r="33" spans="1:13" x14ac:dyDescent="0.25">
      <c r="A33" s="15" t="s">
        <v>40</v>
      </c>
      <c r="B33" s="15"/>
      <c r="C33" s="19">
        <f t="shared" ref="C33:L33" si="18">C32/(C16+C11)</f>
        <v>997.59259259259261</v>
      </c>
      <c r="D33" s="19">
        <f t="shared" si="18"/>
        <v>1008.5280373831775</v>
      </c>
      <c r="E33" s="19">
        <f t="shared" si="18"/>
        <v>1066.552179813805</v>
      </c>
      <c r="F33" s="19">
        <f t="shared" si="18"/>
        <v>1091.5211790153476</v>
      </c>
      <c r="G33" s="19">
        <f t="shared" si="18"/>
        <v>1073.0559586524816</v>
      </c>
      <c r="H33" s="19">
        <f t="shared" si="18"/>
        <v>1185.138031154414</v>
      </c>
      <c r="I33" s="19">
        <f t="shared" si="18"/>
        <v>1194.1968100325284</v>
      </c>
      <c r="J33" s="19">
        <f t="shared" si="18"/>
        <v>1177.9112604505478</v>
      </c>
      <c r="K33" s="19">
        <f t="shared" si="18"/>
        <v>1305.4388721321197</v>
      </c>
      <c r="L33" s="19">
        <f t="shared" si="18"/>
        <v>1278.1355984564375</v>
      </c>
    </row>
    <row r="34" spans="1:13" x14ac:dyDescent="0.25">
      <c r="C34" s="14"/>
    </row>
    <row r="35" spans="1:13" x14ac:dyDescent="0.25">
      <c r="A35" s="11" t="s">
        <v>41</v>
      </c>
      <c r="B35" s="11"/>
    </row>
    <row r="36" spans="1:13" x14ac:dyDescent="0.25">
      <c r="A36" s="15" t="s">
        <v>42</v>
      </c>
      <c r="B36" s="15"/>
      <c r="C36" s="19">
        <f t="shared" ref="C36:L36" si="19">((C11+C12+C13)*200)</f>
        <v>3600</v>
      </c>
      <c r="D36" s="19">
        <f t="shared" si="19"/>
        <v>3770.0000000000005</v>
      </c>
      <c r="E36" s="19">
        <f t="shared" si="19"/>
        <v>3740</v>
      </c>
      <c r="F36" s="19">
        <f t="shared" si="19"/>
        <v>3673.625</v>
      </c>
      <c r="G36" s="19">
        <f t="shared" si="19"/>
        <v>3595.61</v>
      </c>
      <c r="H36" s="19">
        <f t="shared" si="19"/>
        <v>3697.1340624999998</v>
      </c>
      <c r="I36" s="19">
        <f t="shared" si="19"/>
        <v>3647.681924999999</v>
      </c>
      <c r="J36" s="19">
        <f t="shared" si="19"/>
        <v>3762.9981901562496</v>
      </c>
      <c r="K36" s="19">
        <f t="shared" si="19"/>
        <v>3729.5940630624996</v>
      </c>
      <c r="L36" s="19">
        <f t="shared" si="19"/>
        <v>3668.4588442628901</v>
      </c>
    </row>
    <row r="37" spans="1:13" x14ac:dyDescent="0.25">
      <c r="A37" s="15" t="s">
        <v>43</v>
      </c>
      <c r="B37" s="22">
        <v>0.02</v>
      </c>
      <c r="C37" s="19">
        <f>D8*B37</f>
        <v>528</v>
      </c>
      <c r="D37" s="14">
        <f t="shared" ref="D37:L37" si="20">C37*1.05</f>
        <v>554.4</v>
      </c>
      <c r="E37" s="14">
        <f t="shared" si="20"/>
        <v>582.12</v>
      </c>
      <c r="F37" s="14">
        <f t="shared" si="20"/>
        <v>611.226</v>
      </c>
      <c r="G37" s="14">
        <f t="shared" si="20"/>
        <v>641.78730000000007</v>
      </c>
      <c r="H37" s="14">
        <f t="shared" si="20"/>
        <v>673.87666500000012</v>
      </c>
      <c r="I37" s="14">
        <f t="shared" si="20"/>
        <v>707.57049825000013</v>
      </c>
      <c r="J37" s="14">
        <f t="shared" si="20"/>
        <v>742.94902316250011</v>
      </c>
      <c r="K37" s="14">
        <f t="shared" si="20"/>
        <v>780.09647432062513</v>
      </c>
      <c r="L37" s="14">
        <f t="shared" si="20"/>
        <v>819.10129803665643</v>
      </c>
    </row>
    <row r="38" spans="1:13" x14ac:dyDescent="0.25">
      <c r="A38" s="12" t="s">
        <v>44</v>
      </c>
      <c r="B38" s="23">
        <v>0.02</v>
      </c>
      <c r="C38" s="19">
        <f>C8*B38</f>
        <v>800</v>
      </c>
      <c r="D38" s="14">
        <f t="shared" ref="D38:L38" si="21">C38*1.03</f>
        <v>824</v>
      </c>
      <c r="E38" s="14">
        <f t="shared" si="21"/>
        <v>848.72</v>
      </c>
      <c r="F38" s="14">
        <f t="shared" si="21"/>
        <v>874.1816</v>
      </c>
      <c r="G38" s="14">
        <f t="shared" si="21"/>
        <v>900.40704800000003</v>
      </c>
      <c r="H38" s="14">
        <f t="shared" si="21"/>
        <v>927.41925944000002</v>
      </c>
      <c r="I38" s="14">
        <f t="shared" si="21"/>
        <v>955.24183722320004</v>
      </c>
      <c r="J38" s="14">
        <f t="shared" si="21"/>
        <v>983.89909233989601</v>
      </c>
      <c r="K38" s="14">
        <f t="shared" si="21"/>
        <v>1013.416065110093</v>
      </c>
      <c r="L38" s="14">
        <f t="shared" si="21"/>
        <v>1043.8185470633957</v>
      </c>
    </row>
    <row r="39" spans="1:13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8171.9999999999991</v>
      </c>
      <c r="D39" s="19">
        <f>((D11*15*180)+(D12*15*180)+(D17*20*180)+(D16*20*180)+(D13*15*180)+(D14*10*120))/2000*B39</f>
        <v>8208.18</v>
      </c>
      <c r="E39" s="19">
        <f>((E11*15*180)+(E12*15*180)+(E17*20*180)+(E16*20*180)+(E13*15*180)+(E14*10*120))/2000*B39</f>
        <v>8269.0703999999987</v>
      </c>
      <c r="F39" s="19">
        <f>((F11*15*180)+(F12*15*180)+(F17*20*180)+(F16*20*180)+(F13*15*180)+(F14*10*120))/2000*B39</f>
        <v>8277.3282419999996</v>
      </c>
      <c r="G39" s="19">
        <f>((G11*15*180)+(G12*15*180)+(G17*20*180)+(G16*20*180)+(G13*15*180)+(G14*10*120))/2000*B39</f>
        <v>8255.6257521599982</v>
      </c>
      <c r="H39" s="19">
        <f>((H11*15*180)+(H12*15*180)+(H17*20*180)+(H16*20*180)+(H13*15*180)+(H14*10*120))/2000*B39</f>
        <v>8407.6948472418007</v>
      </c>
      <c r="I39" s="19">
        <f>((I11*15*180)+(I12*15*180)+(I17*20*180)+(I16*20*180)+(I13*15*180)+(I14*10*120))/2000*B39</f>
        <v>8215.5299194844629</v>
      </c>
      <c r="J39" s="19">
        <f>((J11*15*180)+(J12*15*180)+(J17*20*180)+(J16*20*180)+(J13*15*180)+(J14*10*120))/2000*B39</f>
        <v>8185.5109236500866</v>
      </c>
      <c r="K39" s="19">
        <f>((K11*15*180)+(K12*15*180)+(K17*20*180)+(K16*20*180)+(K13*15*180)+(K14*10*120))/2000*B39</f>
        <v>8246.6730370335517</v>
      </c>
      <c r="L39" s="19">
        <f>((L11*15*180)+(L12*15*180)+(L17*20*180)+(L16*20*180)+(L13*15*180)+(L14*10*120))/2000*B39</f>
        <v>8046.9926367857952</v>
      </c>
    </row>
    <row r="40" spans="1:13" x14ac:dyDescent="0.25">
      <c r="A40" s="15" t="s">
        <v>46</v>
      </c>
      <c r="B40" s="22">
        <v>120</v>
      </c>
      <c r="C40" s="24">
        <f>((C11*3*180)+(C12*3*180)+(C16*5*180)+(C17*5*180)+(C13*4*180)+(C14*3*120))*(B40/2000)</f>
        <v>1976.3999999999999</v>
      </c>
      <c r="D40" s="24">
        <f>((D11*3*180)+(D12*3*180)+(D16*5*180)+(D17*5*180)+(D13*4*180)+(D14*3*120))*(B40/2000)</f>
        <v>1987.74</v>
      </c>
      <c r="E40" s="24">
        <f>((E11*3*180)+(E12*3*180)+(E16*5*180)+(E17*5*180)+(E13*4*180)+(E14*3*120))*(B40/2000)</f>
        <v>2002.8275999999998</v>
      </c>
      <c r="F40" s="24">
        <f>((F11*3*180)+(F12*3*180)+(F16*5*180)+(F17*5*180)+(F13*4*180)+(F14*3*120))*(B40/2000)</f>
        <v>2005.183998</v>
      </c>
      <c r="G40" s="24">
        <f>((G11*3*180)+(G12*3*180)+(G16*5*180)+(G17*5*180)+(G13*4*180)+(G14*3*120))*(B40/2000)</f>
        <v>2001.5300480399997</v>
      </c>
      <c r="H40" s="24">
        <f>((H11*3*180)+(H12*3*180)+(H16*5*180)+(H17*5*180)+(H13*4*180)+(H14*3*120))*(B40/2000)</f>
        <v>2036.1501466541999</v>
      </c>
      <c r="I40" s="24">
        <f>((I11*3*180)+(I12*3*180)+(I16*5*180)+(I17*5*180)+(I13*4*180)+(I14*3*120))*(B40/2000)</f>
        <v>1991.4514470461158</v>
      </c>
      <c r="J40" s="24">
        <f>((J11*3*180)+(J12*3*180)+(J16*5*180)+(J17*5*180)+(J13*4*180)+(J14*3*120))*(B40/2000)</f>
        <v>1979.2770437921308</v>
      </c>
      <c r="K40" s="24">
        <f>((K11*3*180)+(K12*3*180)+(K16*5*180)+(K17*5*180)+(K13*4*180)+(K14*3*120))*(B40/2000)</f>
        <v>1997.6603429477004</v>
      </c>
      <c r="L40" s="24">
        <f>((L11*3*180)+(L12*3*180)+(L16*5*180)+(L17*5*180)+(L13*4*180)+(L14*3*120))*(B40/2000)</f>
        <v>1947.960810983029</v>
      </c>
      <c r="M40" s="1" t="s">
        <v>47</v>
      </c>
    </row>
    <row r="41" spans="1:13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1397.5</v>
      </c>
      <c r="D41" s="19">
        <f>((D11*0.5*365)+(D16*0.5*365)+(D17*0.5*365)+ (C12*0.5*365)+(D13*0.5*365)+(D14*0.5*120))*(B41/2000)</f>
        <v>1557.3700000000001</v>
      </c>
      <c r="E41" s="19">
        <f>((E11*0.5*365)+(E16*0.5*365)+(E17*0.5*365)+ (D12*0.5*365)+(E13*0.5*365)+(E14*0.5*120))*(B41/2000)</f>
        <v>1535.3280999999999</v>
      </c>
      <c r="F41" s="19">
        <f>((F11*0.5*365)+(F16*0.5*365)+(F17*0.5*365)+ (E12*0.5*365)+(F13*0.5*365)+(F14*0.5*120))*(B41/2000)</f>
        <v>1564.7401630000004</v>
      </c>
      <c r="G41" s="19">
        <f>((G11*0.5*365)+(G16*0.5*365)+(G17*0.5*365)+ (F12*0.5*365)+(G13*0.5*365)+(G14*0.5*120))*(B41/2000)</f>
        <v>1564.1870034900001</v>
      </c>
      <c r="H41" s="19">
        <f>((H11*0.5*365)+(H16*0.5*365)+(H17*0.5*365)+ (G12*0.5*365)+(H13*0.5*365)+(H14*0.5*120))*(B41/2000)</f>
        <v>1589.9175289826999</v>
      </c>
      <c r="I41" s="19">
        <f>((I11*0.5*365)+(I16*0.5*365)+(I17*0.5*365)+ (H12*0.5*365)+(I13*0.5*365)+(I14*0.5*120))*(B41/2000)</f>
        <v>1556.8593175124211</v>
      </c>
      <c r="J41" s="19">
        <f>((J11*0.5*365)+(J16*0.5*365)+(J17*0.5*365)+ (I12*0.5*365)+(J13*0.5*365)+(J14*0.5*120))*(B41/2000)</f>
        <v>1544.2788938360789</v>
      </c>
      <c r="K41" s="19">
        <f>((K11*0.5*365)+(K16*0.5*365)+(K17*0.5*365)+ (J12*0.5*365)+(K13*0.5*365)+(K14*0.5*120))*(B41/2000)</f>
        <v>1568.5143530066307</v>
      </c>
      <c r="L41" s="19">
        <f>((L11*0.5*365)+(L16*0.5*365)+(L17*0.5*365)+ (K12*0.5*365)+(L13*0.5*365)+(L14*0.5*120))*(B41/2000)</f>
        <v>1516.2295631826075</v>
      </c>
      <c r="M41" s="1" t="s">
        <v>49</v>
      </c>
    </row>
    <row r="42" spans="1:13" x14ac:dyDescent="0.25">
      <c r="A42" s="15" t="s">
        <v>50</v>
      </c>
      <c r="B42" s="22">
        <v>12</v>
      </c>
      <c r="C42" s="19">
        <f>(C11+C16+C12+C17+C13+C14)*B42</f>
        <v>588</v>
      </c>
      <c r="D42" s="19">
        <f>(D11+D16+D12+D17+D13+D14)*B42</f>
        <v>592.56000000000006</v>
      </c>
      <c r="E42" s="19">
        <f>(E11+E16+E12+E17+E13+E14)*B42</f>
        <v>592.49279999999999</v>
      </c>
      <c r="F42" s="19">
        <f>(F11+F16+F12+F17+F13+F14)*B42</f>
        <v>590.99594400000001</v>
      </c>
      <c r="G42" s="19">
        <f>(G11+G16+G12+G17+G13+G14)*B42</f>
        <v>586.93252512000004</v>
      </c>
      <c r="H42" s="19">
        <f>(H11+H16+H12+H17+H13+H14)*B42</f>
        <v>600.94686911760004</v>
      </c>
      <c r="I42" s="19">
        <f>(I11+I16+I12+I17+I13+I14)*B42</f>
        <v>586.62355898524788</v>
      </c>
      <c r="J42" s="19">
        <f>(J11+J16+J12+J17+J13+J14)*B42</f>
        <v>590.91482697179299</v>
      </c>
      <c r="K42" s="19">
        <f>(K11+K16+K12+K17+K13+K14)*B42</f>
        <v>591.52455990648195</v>
      </c>
      <c r="L42" s="19">
        <f>(L11+L16+L12+L17+L13+L14)*B42</f>
        <v>577.82988869516817</v>
      </c>
    </row>
    <row r="43" spans="1:13" x14ac:dyDescent="0.25">
      <c r="A43" s="15" t="s">
        <v>51</v>
      </c>
      <c r="B43" s="22">
        <v>10</v>
      </c>
      <c r="C43" s="19">
        <f>(C11+C16+C12+C17+C13+C14)*B43</f>
        <v>490</v>
      </c>
      <c r="D43" s="19">
        <f>(D11+D16+D12+D17+D13+D14)*B43</f>
        <v>493.8</v>
      </c>
      <c r="E43" s="19">
        <f>(E11+E16+E12+E17+E13+E14)*B43</f>
        <v>493.74400000000003</v>
      </c>
      <c r="F43" s="19">
        <f>(F11+F16+F12+F17+F13+F14)*B43</f>
        <v>492.49662000000001</v>
      </c>
      <c r="G43" s="19">
        <f>(G11+G16+G12+G17+G13+G14)*B43</f>
        <v>489.11043759999995</v>
      </c>
      <c r="H43" s="19">
        <f>(H11+H16+H12+H17+H13+H14)*B43</f>
        <v>500.789057598</v>
      </c>
      <c r="I43" s="19">
        <f>(I11+I16+I12+I17+I13+I14)*B43</f>
        <v>488.8529658210399</v>
      </c>
      <c r="J43" s="19">
        <f>(J11+J16+J12+J17+J13+J14)*B43</f>
        <v>492.42902247649408</v>
      </c>
      <c r="K43" s="19">
        <f>(K11+K16+K12+K17+K13+K14)*B43</f>
        <v>492.9371332554017</v>
      </c>
      <c r="L43" s="19">
        <f>(L11+L16+L12+L17+L13+L14)*B43</f>
        <v>481.5249072459734</v>
      </c>
    </row>
    <row r="44" spans="1:13" x14ac:dyDescent="0.25">
      <c r="A44" s="15" t="s">
        <v>52</v>
      </c>
      <c r="B44" s="22">
        <v>40</v>
      </c>
      <c r="C44" s="19">
        <f>(C11+C16+C12+C17+C13+C14)*B44</f>
        <v>1960</v>
      </c>
      <c r="D44" s="19">
        <f>(D11+D16+D12+D17+D13+D14)*B44</f>
        <v>1975.2</v>
      </c>
      <c r="E44" s="19">
        <f>(E11+E16+E12+E17+E13+E14)*B44</f>
        <v>1974.9760000000001</v>
      </c>
      <c r="F44" s="19">
        <f>(F11+F16+F12+F17+F13+F14)*B44</f>
        <v>1969.98648</v>
      </c>
      <c r="G44" s="19">
        <f>(G11+G16+G12+G17+G13+G14)*B44</f>
        <v>1956.4417503999998</v>
      </c>
      <c r="H44" s="19">
        <f>(H11+H16+H12+H17+H13+H14)*B44</f>
        <v>2003.156230392</v>
      </c>
      <c r="I44" s="19">
        <f>(I11+I16+I12+I17+I13+I14)*B44</f>
        <v>1955.4118632841596</v>
      </c>
      <c r="J44" s="19">
        <f>(J11+J16+J12+J17+J13+J14)*B44</f>
        <v>1969.7160899059763</v>
      </c>
      <c r="K44" s="19">
        <f>(K11+K16+K12+K17+K13+K14)*B44</f>
        <v>1971.7485330216068</v>
      </c>
      <c r="L44" s="19">
        <f>(L11+L16+L12+L17+L13+L14)*B44</f>
        <v>1926.0996289838936</v>
      </c>
    </row>
    <row r="45" spans="1:13" x14ac:dyDescent="0.25">
      <c r="A45" s="15" t="s">
        <v>53</v>
      </c>
      <c r="B45" s="22">
        <v>30</v>
      </c>
      <c r="C45" s="19">
        <f>(C11+C16+C12+C17+C13+C14)*B45</f>
        <v>1470</v>
      </c>
      <c r="D45" s="19">
        <f>(D11+D16+D12+D17+D13+D14)*B45</f>
        <v>1481.4</v>
      </c>
      <c r="E45" s="19">
        <f>(E11+E16+E12+E17+E13+E14)*B45</f>
        <v>1481.232</v>
      </c>
      <c r="F45" s="19">
        <f>(F11+F16+F12+F17+F13+F14)*B45</f>
        <v>1477.4898600000001</v>
      </c>
      <c r="G45" s="19">
        <f>(G11+G16+G12+G17+G13+G14)*B45</f>
        <v>1467.3313128</v>
      </c>
      <c r="H45" s="19">
        <f>(H11+H16+H12+H17+H13+H14)*B45</f>
        <v>1502.367172794</v>
      </c>
      <c r="I45" s="19">
        <f>(I11+I16+I12+I17+I13+I14)*B45</f>
        <v>1466.5588974631196</v>
      </c>
      <c r="J45" s="19">
        <f>(J11+J16+J12+J17+J13+J14)*B45</f>
        <v>1477.2870674294822</v>
      </c>
      <c r="K45" s="19">
        <f>(K11+K16+K12+K17+K13+K14)*B45</f>
        <v>1478.8113997662051</v>
      </c>
      <c r="L45" s="19">
        <f>(L11+L16+L12+L17+L13+L14)*B45</f>
        <v>1444.5747217379203</v>
      </c>
    </row>
    <row r="46" spans="1:13" x14ac:dyDescent="0.25">
      <c r="A46" s="11" t="s">
        <v>54</v>
      </c>
      <c r="B46" s="11"/>
      <c r="C46" s="19">
        <f>SUM(C36:C45)</f>
        <v>20981.9</v>
      </c>
      <c r="D46" s="19">
        <f t="shared" ref="D46:L46" si="22">SUM(D36:D45)</f>
        <v>21444.650000000005</v>
      </c>
      <c r="E46" s="19">
        <f t="shared" si="22"/>
        <v>21520.510899999997</v>
      </c>
      <c r="F46" s="19">
        <f t="shared" si="22"/>
        <v>21537.253906999998</v>
      </c>
      <c r="G46" s="19">
        <f t="shared" si="22"/>
        <v>21458.96317761</v>
      </c>
      <c r="H46" s="19">
        <f t="shared" si="22"/>
        <v>21939.451839720299</v>
      </c>
      <c r="I46" s="19">
        <f t="shared" si="22"/>
        <v>21571.782230069766</v>
      </c>
      <c r="J46" s="19">
        <f t="shared" si="22"/>
        <v>21729.260173720686</v>
      </c>
      <c r="K46" s="19">
        <f t="shared" si="22"/>
        <v>21870.975961430795</v>
      </c>
      <c r="L46" s="19">
        <f t="shared" si="22"/>
        <v>21472.590846977331</v>
      </c>
    </row>
    <row r="47" spans="1:13" x14ac:dyDescent="0.25">
      <c r="A47" s="15" t="s">
        <v>55</v>
      </c>
      <c r="B47" s="15"/>
      <c r="C47" s="19">
        <f t="shared" ref="C47:L47" si="23">C46/(C11+C16+C13+C14)</f>
        <v>511.75365853658542</v>
      </c>
      <c r="D47" s="19">
        <f t="shared" si="23"/>
        <v>529.1056007895387</v>
      </c>
      <c r="E47" s="19">
        <f t="shared" si="23"/>
        <v>542.42813753957205</v>
      </c>
      <c r="F47" s="19">
        <f t="shared" si="23"/>
        <v>542.06948769688927</v>
      </c>
      <c r="G47" s="19">
        <f t="shared" si="23"/>
        <v>541.44189327599258</v>
      </c>
      <c r="H47" s="19">
        <f t="shared" si="23"/>
        <v>535.6133585442584</v>
      </c>
      <c r="I47" s="19">
        <f t="shared" si="23"/>
        <v>544.39915585032509</v>
      </c>
      <c r="J47" s="19">
        <f t="shared" si="23"/>
        <v>544.40767522152373</v>
      </c>
      <c r="K47" s="19">
        <f t="shared" si="23"/>
        <v>548.36255796777937</v>
      </c>
      <c r="L47" s="19">
        <f t="shared" si="23"/>
        <v>555.92198413312792</v>
      </c>
    </row>
    <row r="48" spans="1:13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3" x14ac:dyDescent="0.25">
      <c r="A49" s="11" t="s">
        <v>56</v>
      </c>
      <c r="B49" s="11"/>
      <c r="C49" s="19">
        <f>C32-C46</f>
        <v>5953.0999999999985</v>
      </c>
      <c r="D49" s="19">
        <f t="shared" ref="D49:L49" si="24">D32-D46</f>
        <v>4454.3499999999949</v>
      </c>
      <c r="E49" s="19">
        <f t="shared" si="24"/>
        <v>5355.9641000000011</v>
      </c>
      <c r="F49" s="19">
        <f t="shared" si="24"/>
        <v>6360.2940930000041</v>
      </c>
      <c r="G49" s="19">
        <f t="shared" si="24"/>
        <v>6149.7002998900025</v>
      </c>
      <c r="H49" s="19">
        <f t="shared" si="24"/>
        <v>9649.5462782297036</v>
      </c>
      <c r="I49" s="19">
        <f t="shared" si="24"/>
        <v>8803.7451206774858</v>
      </c>
      <c r="J49" s="19">
        <f t="shared" si="24"/>
        <v>8156.8154945584974</v>
      </c>
      <c r="K49" s="19">
        <f t="shared" si="24"/>
        <v>11250.821324976638</v>
      </c>
      <c r="L49" s="19">
        <f t="shared" si="24"/>
        <v>9793.6492665505684</v>
      </c>
    </row>
    <row r="50" spans="1:13" x14ac:dyDescent="0.25">
      <c r="A50" s="15" t="s">
        <v>57</v>
      </c>
      <c r="B50" s="15"/>
      <c r="C50" s="19">
        <f t="shared" ref="C50:L50" si="25">C49/(C16+C11)</f>
        <v>220.48518518518514</v>
      </c>
      <c r="D50" s="19">
        <f t="shared" si="25"/>
        <v>173.45599688473501</v>
      </c>
      <c r="E50" s="19">
        <f t="shared" si="25"/>
        <v>212.54331849171015</v>
      </c>
      <c r="F50" s="19">
        <f t="shared" si="25"/>
        <v>248.85325790193869</v>
      </c>
      <c r="G50" s="19">
        <f t="shared" si="25"/>
        <v>239.0181819595081</v>
      </c>
      <c r="H50" s="19">
        <f t="shared" si="25"/>
        <v>362.02617870353362</v>
      </c>
      <c r="I50" s="19">
        <f t="shared" si="25"/>
        <v>346.11429846316253</v>
      </c>
      <c r="J50" s="19">
        <f t="shared" si="25"/>
        <v>321.48766961250152</v>
      </c>
      <c r="K50" s="19">
        <f t="shared" si="25"/>
        <v>443.43183958392501</v>
      </c>
      <c r="L50" s="19">
        <f t="shared" si="25"/>
        <v>400.35551831379598</v>
      </c>
    </row>
    <row r="51" spans="1:13" x14ac:dyDescent="0.25">
      <c r="A51" s="16" t="s">
        <v>58</v>
      </c>
      <c r="B51" s="16"/>
      <c r="C51" s="17">
        <f>(C49/(((C11+C12+C13)*C26)+((C16+C17)*C29)+(((C14*0.5)-C21)*C22)+D8))*100</f>
        <v>4.1879001055223348</v>
      </c>
      <c r="D51" s="17">
        <f>(D49/(((D11+D12+D13)*D26)+((D16+D17)*D29)+(((D14*0.5)-D21)*D22)+E8))*100</f>
        <v>3.662868267572303</v>
      </c>
      <c r="E51" s="17">
        <f t="shared" ref="E51:L51" si="26">(E49/(((E11+E12+E13)*E26)+((E16+E17)*E29)+(((E14*0.5)-E21)*E22)+F8))*100</f>
        <v>4.129171519681937</v>
      </c>
      <c r="F51" s="17">
        <f t="shared" si="26"/>
        <v>4.6271152931806423</v>
      </c>
      <c r="G51" s="17">
        <f t="shared" si="26"/>
        <v>4.2359769809938062</v>
      </c>
      <c r="H51" s="17">
        <f t="shared" si="26"/>
        <v>6.2550219840032311</v>
      </c>
      <c r="I51" s="17">
        <f t="shared" si="26"/>
        <v>5.5752084006422233</v>
      </c>
      <c r="J51" s="17">
        <f t="shared" si="26"/>
        <v>5.0282293415556207</v>
      </c>
      <c r="K51" s="17">
        <f t="shared" si="26"/>
        <v>6.4944590741411847</v>
      </c>
      <c r="L51" s="17">
        <f t="shared" si="26"/>
        <v>5.535788324031242</v>
      </c>
      <c r="M51" s="27">
        <f>SUM(C51:L51)/10</f>
        <v>4.9731739291324519</v>
      </c>
    </row>
    <row r="52" spans="1:13" x14ac:dyDescent="0.25">
      <c r="C52" s="17"/>
      <c r="D52" s="14"/>
      <c r="E52" s="14"/>
      <c r="F52" s="14"/>
      <c r="G52" s="14"/>
      <c r="H52" s="14"/>
      <c r="I52" s="14"/>
      <c r="J52" s="14"/>
      <c r="K52" s="14"/>
      <c r="L52" s="14"/>
    </row>
    <row r="53" spans="1:13" x14ac:dyDescent="0.25">
      <c r="A53" s="5" t="s">
        <v>59</v>
      </c>
      <c r="C53" s="14"/>
      <c r="E53" s="14"/>
    </row>
    <row r="54" spans="1:13" x14ac:dyDescent="0.25">
      <c r="A54" s="1" t="s">
        <v>60</v>
      </c>
      <c r="B54" s="34">
        <f>L19</f>
        <v>81698.401450969614</v>
      </c>
      <c r="C54" s="29"/>
    </row>
    <row r="55" spans="1:13" x14ac:dyDescent="0.25">
      <c r="A55" s="1" t="s">
        <v>61</v>
      </c>
      <c r="B55" s="34">
        <f>(C8+D8)*0.5</f>
        <v>33200</v>
      </c>
      <c r="C55" s="29">
        <v>0.5</v>
      </c>
    </row>
    <row r="56" spans="1:13" x14ac:dyDescent="0.25">
      <c r="A56" s="5" t="s">
        <v>62</v>
      </c>
      <c r="B56" s="33">
        <f>SUM(B54:B55)</f>
        <v>114898.40145096961</v>
      </c>
      <c r="D56" s="1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F3" sqref="F3"/>
    </sheetView>
  </sheetViews>
  <sheetFormatPr defaultColWidth="11.42578125" defaultRowHeight="15.75" x14ac:dyDescent="0.25"/>
  <cols>
    <col min="1" max="1" width="26.42578125" style="1" customWidth="1"/>
    <col min="2" max="2" width="13.28515625" style="1" customWidth="1"/>
    <col min="3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2" width="13.140625" style="1" customWidth="1"/>
    <col min="13" max="13" width="12.7109375" style="1" customWidth="1"/>
    <col min="14" max="14" width="13" style="1" customWidth="1"/>
    <col min="15" max="23" width="10.7109375" style="1" customWidth="1"/>
    <col min="24" max="16384" width="11.42578125" style="1"/>
  </cols>
  <sheetData>
    <row r="1" spans="1:13" ht="23.25" x14ac:dyDescent="0.35">
      <c r="E1" s="2" t="s">
        <v>63</v>
      </c>
    </row>
    <row r="2" spans="1:13" ht="23.25" x14ac:dyDescent="0.35">
      <c r="E2" s="2"/>
      <c r="I2" s="3" t="s">
        <v>64</v>
      </c>
    </row>
    <row r="3" spans="1:13" ht="18.75" x14ac:dyDescent="0.3">
      <c r="A3" s="4" t="s">
        <v>73</v>
      </c>
      <c r="B3" s="4"/>
    </row>
    <row r="4" spans="1:13" x14ac:dyDescent="0.25">
      <c r="A4" s="5"/>
      <c r="B4" s="5"/>
      <c r="L4" s="6"/>
      <c r="M4" s="6"/>
    </row>
    <row r="5" spans="1:13" x14ac:dyDescent="0.25">
      <c r="A5" s="5" t="s">
        <v>6</v>
      </c>
      <c r="B5" s="5"/>
      <c r="I5" s="1" t="s">
        <v>74</v>
      </c>
    </row>
    <row r="6" spans="1:13" x14ac:dyDescent="0.25">
      <c r="I6" s="1" t="s">
        <v>7</v>
      </c>
      <c r="J6" s="6"/>
    </row>
    <row r="7" spans="1:13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I7" s="1" t="s">
        <v>8</v>
      </c>
      <c r="J7" s="7"/>
      <c r="L7" s="7"/>
    </row>
    <row r="8" spans="1:13" s="5" customFormat="1" x14ac:dyDescent="0.25">
      <c r="A8" s="32">
        <f>SUM(C8:G8)</f>
        <v>66400</v>
      </c>
      <c r="B8" s="32"/>
      <c r="C8" s="35">
        <v>40000</v>
      </c>
      <c r="D8" s="35">
        <v>26400</v>
      </c>
      <c r="E8" s="33"/>
      <c r="I8" s="1" t="s">
        <v>13</v>
      </c>
      <c r="J8" s="7"/>
      <c r="K8" s="9"/>
      <c r="L8" s="10"/>
    </row>
    <row r="9" spans="1:13" s="5" customFormat="1" x14ac:dyDescent="0.25">
      <c r="A9" s="7"/>
      <c r="B9" s="7"/>
      <c r="D9" s="8"/>
      <c r="F9" s="8"/>
      <c r="I9" s="1" t="s">
        <v>14</v>
      </c>
      <c r="J9" s="7"/>
      <c r="K9" s="9"/>
      <c r="L9" s="10"/>
    </row>
    <row r="10" spans="1:13" x14ac:dyDescent="0.25">
      <c r="A10" s="11" t="s">
        <v>16</v>
      </c>
      <c r="B10" s="11"/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I10" s="1" t="s">
        <v>75</v>
      </c>
    </row>
    <row r="11" spans="1:13" x14ac:dyDescent="0.25">
      <c r="A11" s="12" t="s">
        <v>18</v>
      </c>
      <c r="B11" s="12"/>
      <c r="C11" s="13">
        <v>10</v>
      </c>
      <c r="D11" s="14">
        <f>(C11+C12)-C25</f>
        <v>10</v>
      </c>
      <c r="E11" s="14">
        <f>(D11+D12)-D25</f>
        <v>10</v>
      </c>
      <c r="F11" s="14">
        <f>(E11+E12)-E25</f>
        <v>10.092500000000001</v>
      </c>
      <c r="G11" s="14">
        <f>(F11+F12)-F25</f>
        <v>10.427500000000002</v>
      </c>
      <c r="I11" s="5" t="s">
        <v>15</v>
      </c>
    </row>
    <row r="12" spans="1:13" x14ac:dyDescent="0.25">
      <c r="A12" s="12" t="s">
        <v>19</v>
      </c>
      <c r="B12" s="12"/>
      <c r="C12" s="13">
        <v>5</v>
      </c>
      <c r="D12" s="14">
        <f t="shared" ref="D12:G12" si="0">C13</f>
        <v>6</v>
      </c>
      <c r="E12" s="14">
        <f t="shared" si="0"/>
        <v>5.0925000000000002</v>
      </c>
      <c r="F12" s="14">
        <f t="shared" si="0"/>
        <v>5.335</v>
      </c>
      <c r="G12" s="14">
        <f t="shared" si="0"/>
        <v>5.1149312499999997</v>
      </c>
    </row>
    <row r="13" spans="1:13" x14ac:dyDescent="0.25">
      <c r="A13" s="12" t="s">
        <v>20</v>
      </c>
      <c r="B13" s="12"/>
      <c r="C13" s="13">
        <v>6</v>
      </c>
      <c r="D13" s="14">
        <f t="shared" ref="D13:G13" si="1">(C14*0.5)*0.97</f>
        <v>5.0925000000000002</v>
      </c>
      <c r="E13" s="14">
        <f t="shared" si="1"/>
        <v>5.335</v>
      </c>
      <c r="F13" s="14">
        <f t="shared" si="1"/>
        <v>5.1149312499999997</v>
      </c>
      <c r="G13" s="14">
        <f t="shared" si="1"/>
        <v>5.2096275000000007</v>
      </c>
    </row>
    <row r="14" spans="1:13" x14ac:dyDescent="0.25">
      <c r="A14" s="15" t="s">
        <v>21</v>
      </c>
      <c r="B14" s="15"/>
      <c r="C14" s="14">
        <f t="shared" ref="C14:G14" si="2">((C11*C15)+(C12*0.5))</f>
        <v>10.5</v>
      </c>
      <c r="D14" s="14">
        <f t="shared" si="2"/>
        <v>11</v>
      </c>
      <c r="E14" s="14">
        <f t="shared" si="2"/>
        <v>10.546250000000001</v>
      </c>
      <c r="F14" s="14">
        <f t="shared" si="2"/>
        <v>10.741500000000002</v>
      </c>
      <c r="G14" s="14">
        <f t="shared" si="2"/>
        <v>10.899465625000001</v>
      </c>
    </row>
    <row r="15" spans="1:13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</row>
    <row r="16" spans="1:13" x14ac:dyDescent="0.25">
      <c r="A16" s="15" t="s">
        <v>23</v>
      </c>
      <c r="B16" s="15"/>
      <c r="C16" s="18">
        <v>12</v>
      </c>
      <c r="D16" s="14">
        <f>((C16+C17)-(C23+C28))*0.98</f>
        <v>12.74</v>
      </c>
      <c r="E16" s="14">
        <f>((D16+D17)-(D23+D28))*0.98</f>
        <v>12.575849999999999</v>
      </c>
      <c r="F16" s="14">
        <f>((E16+E17)-(E23+E28))*0.98</f>
        <v>12.652633</v>
      </c>
      <c r="G16" s="14">
        <f>((F16+F17)-(F23+F28))*0.98</f>
        <v>12.512212965</v>
      </c>
    </row>
    <row r="17" spans="1:17" x14ac:dyDescent="0.25">
      <c r="A17" s="12" t="s">
        <v>24</v>
      </c>
      <c r="B17" s="12"/>
      <c r="C17" s="13">
        <v>6</v>
      </c>
      <c r="D17" s="14">
        <f>(C14*0.5)*0.97</f>
        <v>5.0925000000000002</v>
      </c>
      <c r="E17" s="14">
        <f>(D14*0.5)*0.97</f>
        <v>5.335</v>
      </c>
      <c r="F17" s="14">
        <f>(E14*0.5)*0.97</f>
        <v>5.1149312499999997</v>
      </c>
      <c r="G17" s="14">
        <f>(F14*0.5)*0.97</f>
        <v>5.2096275000000007</v>
      </c>
    </row>
    <row r="18" spans="1:17" x14ac:dyDescent="0.25">
      <c r="A18" s="15" t="s">
        <v>25</v>
      </c>
      <c r="B18" s="15"/>
      <c r="C18" s="14">
        <f t="shared" ref="C18:G18" si="3">SUM(C11:C17)</f>
        <v>50.3</v>
      </c>
      <c r="D18" s="14">
        <f t="shared" si="3"/>
        <v>50.725000000000001</v>
      </c>
      <c r="E18" s="14">
        <f t="shared" si="3"/>
        <v>49.684600000000003</v>
      </c>
      <c r="F18" s="14">
        <f t="shared" si="3"/>
        <v>49.851495499999999</v>
      </c>
      <c r="G18" s="14">
        <f t="shared" si="3"/>
        <v>50.173364840000012</v>
      </c>
    </row>
    <row r="19" spans="1:17" x14ac:dyDescent="0.25">
      <c r="A19" s="15" t="s">
        <v>26</v>
      </c>
      <c r="B19" s="15"/>
      <c r="C19" s="19">
        <f>SUM(C11*C26)+((C16*0.25)*C24)+(C16*0.75*C29)+(C13*C22)+(C14*C22)+(C12*0.85*C26)+(C17*1000)</f>
        <v>75975</v>
      </c>
      <c r="D19" s="19">
        <f>SUM(D11*D26)+((D16*0.25)*D24)+(D16*0.75*D29)+(D13*D22)+(D14*D22)+(D12*0.85*D26)+(D17*1000)</f>
        <v>81741.853750000009</v>
      </c>
      <c r="E19" s="19">
        <f t="shared" ref="E19:G19" si="4">SUM(E11*E26)+((E16*0.25)*E24)+(E16*0.75*E29)+(E13*E22)+(E14*E22)+(E12*0.85*E26)+(E17*1000)</f>
        <v>83784.200580624994</v>
      </c>
      <c r="F19" s="19">
        <f t="shared" si="4"/>
        <v>87778.982082945571</v>
      </c>
      <c r="G19" s="19">
        <f t="shared" si="4"/>
        <v>91362.196959065317</v>
      </c>
    </row>
    <row r="20" spans="1:17" x14ac:dyDescent="0.25">
      <c r="A20" s="11" t="s">
        <v>27</v>
      </c>
      <c r="B20" s="11"/>
    </row>
    <row r="21" spans="1:17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17" x14ac:dyDescent="0.25">
      <c r="A22" s="15" t="s">
        <v>29</v>
      </c>
      <c r="B22" s="15"/>
      <c r="C22" s="19">
        <v>650</v>
      </c>
      <c r="D22" s="19">
        <f>C22*1.03</f>
        <v>669.5</v>
      </c>
      <c r="E22" s="19">
        <f t="shared" ref="E22:G22" si="5">D22*1.03</f>
        <v>689.58500000000004</v>
      </c>
      <c r="F22" s="19">
        <f t="shared" si="5"/>
        <v>710.27255000000002</v>
      </c>
      <c r="G22" s="19">
        <f t="shared" si="5"/>
        <v>731.58072650000008</v>
      </c>
    </row>
    <row r="23" spans="1:17" x14ac:dyDescent="0.25">
      <c r="A23" s="12" t="s">
        <v>30</v>
      </c>
      <c r="B23" s="12"/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17" x14ac:dyDescent="0.25">
      <c r="A24" s="12" t="s">
        <v>31</v>
      </c>
      <c r="B24" s="12"/>
      <c r="C24" s="19">
        <v>1500</v>
      </c>
      <c r="D24" s="19">
        <f>C24*1.02</f>
        <v>1530</v>
      </c>
      <c r="E24" s="19">
        <f t="shared" ref="E24:G24" si="6">D24*1.02</f>
        <v>1560.6000000000001</v>
      </c>
      <c r="F24" s="19">
        <f t="shared" si="6"/>
        <v>1591.8120000000001</v>
      </c>
      <c r="G24" s="19">
        <f t="shared" si="6"/>
        <v>1623.6482400000002</v>
      </c>
      <c r="Q24" s="14"/>
    </row>
    <row r="25" spans="1:17" x14ac:dyDescent="0.25">
      <c r="A25" s="15" t="s">
        <v>32</v>
      </c>
      <c r="B25" s="15"/>
      <c r="C25" s="18">
        <v>5</v>
      </c>
      <c r="D25" s="18">
        <v>6</v>
      </c>
      <c r="E25" s="18">
        <v>5</v>
      </c>
      <c r="F25" s="18">
        <v>5</v>
      </c>
      <c r="G25" s="18">
        <v>5</v>
      </c>
    </row>
    <row r="26" spans="1:17" x14ac:dyDescent="0.25">
      <c r="A26" s="15" t="s">
        <v>33</v>
      </c>
      <c r="B26" s="15"/>
      <c r="C26" s="19">
        <v>1000</v>
      </c>
      <c r="D26" s="19">
        <f>C26*1.05</f>
        <v>1050</v>
      </c>
      <c r="E26" s="19">
        <f t="shared" ref="E26:G26" si="7">D26*1.05</f>
        <v>1102.5</v>
      </c>
      <c r="F26" s="19">
        <f t="shared" si="7"/>
        <v>1157.625</v>
      </c>
      <c r="G26" s="19">
        <f t="shared" si="7"/>
        <v>1215.5062500000001</v>
      </c>
    </row>
    <row r="27" spans="1:17" x14ac:dyDescent="0.25">
      <c r="A27" s="12" t="s">
        <v>34</v>
      </c>
      <c r="B27" s="12"/>
      <c r="C27" s="14">
        <f>C18*0.02</f>
        <v>1.006</v>
      </c>
      <c r="D27" s="14">
        <f t="shared" ref="D27:G27" si="8">D18*0.02</f>
        <v>1.0145</v>
      </c>
      <c r="E27" s="14">
        <f t="shared" si="8"/>
        <v>0.99369200000000013</v>
      </c>
      <c r="F27" s="14">
        <f t="shared" si="8"/>
        <v>0.99702990999999996</v>
      </c>
      <c r="G27" s="14">
        <f t="shared" si="8"/>
        <v>1.0034672968000002</v>
      </c>
    </row>
    <row r="28" spans="1:17" x14ac:dyDescent="0.25">
      <c r="A28" s="12" t="s">
        <v>35</v>
      </c>
      <c r="B28" s="12"/>
      <c r="C28" s="13">
        <v>5</v>
      </c>
      <c r="D28" s="13">
        <v>5</v>
      </c>
      <c r="E28" s="13">
        <v>5</v>
      </c>
      <c r="F28" s="13">
        <v>5</v>
      </c>
      <c r="G28" s="13">
        <v>5</v>
      </c>
      <c r="H28" s="14"/>
    </row>
    <row r="29" spans="1:17" x14ac:dyDescent="0.25">
      <c r="A29" s="12" t="s">
        <v>36</v>
      </c>
      <c r="B29" s="12"/>
      <c r="C29" s="19">
        <v>4500</v>
      </c>
      <c r="D29" s="19">
        <f t="shared" ref="D29:G29" si="9">C29*1.05</f>
        <v>4725</v>
      </c>
      <c r="E29" s="19">
        <f t="shared" si="9"/>
        <v>4961.25</v>
      </c>
      <c r="F29" s="19">
        <f t="shared" si="9"/>
        <v>5209.3125</v>
      </c>
      <c r="G29" s="19">
        <f t="shared" si="9"/>
        <v>5469.7781249999998</v>
      </c>
    </row>
    <row r="30" spans="1:17" x14ac:dyDescent="0.25">
      <c r="A30" s="15" t="s">
        <v>37</v>
      </c>
      <c r="B30" s="15"/>
      <c r="C30" s="20">
        <f>((C16-C28)*12)+(C17*2)</f>
        <v>96</v>
      </c>
      <c r="D30" s="20">
        <f>((D16-D28)*12)+(D17*2)</f>
        <v>103.065</v>
      </c>
      <c r="E30" s="20">
        <f>((E16-E28)*12)+(E17*2)</f>
        <v>101.58019999999999</v>
      </c>
      <c r="F30" s="20">
        <f>((F16-F28)*12)+(F17*2)</f>
        <v>102.06145849999999</v>
      </c>
      <c r="G30" s="20">
        <f>((G16-G28)*12)+(G17*2)</f>
        <v>100.56581058</v>
      </c>
    </row>
    <row r="31" spans="1:17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</row>
    <row r="32" spans="1:17" x14ac:dyDescent="0.25">
      <c r="A32" s="11" t="s">
        <v>39</v>
      </c>
      <c r="B32" s="11"/>
      <c r="C32" s="19">
        <f>(C21*C22)+(C23*C24)+(C25*C26)+(C28*C29)+(C30*C31)</f>
        <v>30860</v>
      </c>
      <c r="D32" s="19">
        <f t="shared" ref="D32:G32" si="10">(D21*D22)+(D23*D24)+(D25*D26)+(D28*D29)+(D30*D31)</f>
        <v>33532.275000000001</v>
      </c>
      <c r="E32" s="19">
        <f t="shared" si="10"/>
        <v>33874.057000000001</v>
      </c>
      <c r="F32" s="19">
        <f t="shared" si="10"/>
        <v>35406.838547499996</v>
      </c>
      <c r="G32" s="19">
        <f t="shared" si="10"/>
        <v>36946.225245299996</v>
      </c>
    </row>
    <row r="33" spans="1:8" x14ac:dyDescent="0.25">
      <c r="A33" s="15" t="s">
        <v>40</v>
      </c>
      <c r="B33" s="15"/>
      <c r="C33" s="19">
        <f t="shared" ref="C33:G33" si="11">C32/(C16+C11)</f>
        <v>1402.7272727272727</v>
      </c>
      <c r="D33" s="19">
        <f t="shared" si="11"/>
        <v>1474.594327176781</v>
      </c>
      <c r="E33" s="19">
        <f t="shared" si="11"/>
        <v>1500.4554424307391</v>
      </c>
      <c r="F33" s="19">
        <f t="shared" si="11"/>
        <v>1556.6775779020502</v>
      </c>
      <c r="G33" s="19">
        <f t="shared" si="11"/>
        <v>1610.5792300745118</v>
      </c>
    </row>
    <row r="34" spans="1:8" x14ac:dyDescent="0.25">
      <c r="C34" s="14"/>
    </row>
    <row r="35" spans="1:8" x14ac:dyDescent="0.25">
      <c r="A35" s="11" t="s">
        <v>41</v>
      </c>
      <c r="B35" s="11"/>
    </row>
    <row r="36" spans="1:8" x14ac:dyDescent="0.25">
      <c r="A36" s="15" t="s">
        <v>42</v>
      </c>
      <c r="B36" s="15"/>
      <c r="C36" s="19">
        <f>((C11+C12+C13)*200)</f>
        <v>4200</v>
      </c>
      <c r="D36" s="19">
        <f t="shared" ref="D36:G36" si="12">((D11+D12+D13)*200)</f>
        <v>4218.5</v>
      </c>
      <c r="E36" s="19">
        <f t="shared" si="12"/>
        <v>4085.5000000000005</v>
      </c>
      <c r="F36" s="19">
        <f t="shared" si="12"/>
        <v>4108.4862499999999</v>
      </c>
      <c r="G36" s="19">
        <f t="shared" si="12"/>
        <v>4150.4117500000011</v>
      </c>
    </row>
    <row r="37" spans="1:8" x14ac:dyDescent="0.25">
      <c r="A37" s="15" t="s">
        <v>43</v>
      </c>
      <c r="B37" s="22">
        <v>0.02</v>
      </c>
      <c r="C37" s="19">
        <f>D8*B37</f>
        <v>528</v>
      </c>
      <c r="D37" s="14">
        <f t="shared" ref="D37:G37" si="13">C37*1.05</f>
        <v>554.4</v>
      </c>
      <c r="E37" s="14">
        <f t="shared" si="13"/>
        <v>582.12</v>
      </c>
      <c r="F37" s="14">
        <f t="shared" si="13"/>
        <v>611.226</v>
      </c>
      <c r="G37" s="14">
        <f t="shared" si="13"/>
        <v>641.78730000000007</v>
      </c>
    </row>
    <row r="38" spans="1:8" x14ac:dyDescent="0.25">
      <c r="A38" s="12" t="s">
        <v>44</v>
      </c>
      <c r="B38" s="23">
        <v>0.02</v>
      </c>
      <c r="C38" s="19">
        <f>C8*B38</f>
        <v>800</v>
      </c>
      <c r="D38" s="14">
        <f t="shared" ref="D38:G38" si="14">C38*1.03</f>
        <v>824</v>
      </c>
      <c r="E38" s="14">
        <f t="shared" si="14"/>
        <v>848.72</v>
      </c>
      <c r="F38" s="14">
        <f t="shared" si="14"/>
        <v>874.1816</v>
      </c>
      <c r="G38" s="14">
        <f t="shared" si="14"/>
        <v>900.40704800000003</v>
      </c>
    </row>
    <row r="39" spans="1:8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8046</v>
      </c>
      <c r="D39" s="19">
        <f>((D11*15*180)+(D12*15*180)+(D17*20*180)+(D16*20*180)+(D13*15*180)+(D14*10*120))/2000*B39</f>
        <v>8060.8049999999994</v>
      </c>
      <c r="E39" s="19">
        <f>((E11*15*180)+(E12*15*180)+(E17*20*180)+(E16*20*180)+(E13*15*180)+(E14*10*120))/2000*B39</f>
        <v>7937.3285999999989</v>
      </c>
      <c r="F39" s="19">
        <f>((F11*15*180)+(F12*15*180)+(F17*20*180)+(F16*20*180)+(F13*15*180)+(F14*10*120))/2000*B39</f>
        <v>7939.055740499999</v>
      </c>
      <c r="G39" s="19">
        <f>((G11*15*180)+(G12*15*180)+(G17*20*180)+(G16*20*180)+(G13*15*180)+(G14*10*120))/2000*B39</f>
        <v>7974.5125829400004</v>
      </c>
    </row>
    <row r="40" spans="1:8" x14ac:dyDescent="0.25">
      <c r="A40" s="15" t="s">
        <v>71</v>
      </c>
      <c r="B40" s="22">
        <v>120</v>
      </c>
      <c r="C40" s="24">
        <f>((C11*3*180)+(C12*3*180)+(C16*5*180)+(C17*5*180)+(C13*4*180)+(C14*3*120))*(B40/2000)</f>
        <v>1944</v>
      </c>
      <c r="D40" s="24">
        <f>((D11*3*180)+(D12*3*180)+(D16*5*180)+(D17*5*180)+(D13*4*180)+(D14*3*120))*(B40/2000)</f>
        <v>1938.9509999999998</v>
      </c>
      <c r="E40" s="24">
        <f>((E11*3*180)+(E12*3*180)+(E16*5*180)+(E17*5*180)+(E13*4*180)+(E14*3*120))*(B40/2000)</f>
        <v>1914.4539</v>
      </c>
      <c r="F40" s="24">
        <f>((F11*3*180)+(F12*3*180)+(F16*5*180)+(F17*5*180)+(F13*4*180)+(F14*3*120))*(B40/2000)</f>
        <v>1912.2808994999998</v>
      </c>
      <c r="G40" s="24">
        <f>((G11*3*180)+(G12*3*180)+(G16*5*180)+(G17*5*180)+(G13*4*180)+(G14*3*120))*(B40/2000)</f>
        <v>1921.0385231100001</v>
      </c>
      <c r="H40" s="1" t="s">
        <v>47</v>
      </c>
    </row>
    <row r="41" spans="1:8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1367</v>
      </c>
      <c r="D41" s="19">
        <f>((D11*0.5*365)+(D16*0.5*365)+(D17*0.5*365)+ (C12*0.5*365)+(D13*0.5*365)+(D14*0.5*120))*(B41/2000)</f>
        <v>1516.2625000000003</v>
      </c>
      <c r="E41" s="19">
        <f>((E11*0.5*365)+(E16*0.5*365)+(E17*0.5*365)+ (D12*0.5*365)+(E13*0.5*365)+(E14*0.5*120))*(B41/2000)</f>
        <v>1559.0285249999997</v>
      </c>
      <c r="F41" s="19">
        <f>((F11*0.5*365)+(F16*0.5*365)+(F17*0.5*365)+ (E12*0.5*365)+(F13*0.5*365)+(F14*0.5*120))*(B41/2000)</f>
        <v>1518.3615857500001</v>
      </c>
      <c r="G41" s="19">
        <f>((G11*0.5*365)+(G16*0.5*365)+(G17*0.5*365)+ (F12*0.5*365)+(G13*0.5*365)+(G14*0.5*120))*(B41/2000)</f>
        <v>1543.1234182225003</v>
      </c>
      <c r="H41" s="1" t="s">
        <v>72</v>
      </c>
    </row>
    <row r="42" spans="1:8" x14ac:dyDescent="0.25">
      <c r="A42" s="15" t="s">
        <v>50</v>
      </c>
      <c r="B42" s="22">
        <v>15</v>
      </c>
      <c r="C42" s="19">
        <f>(C11+C16+C12+C17+C13+C14)*B42</f>
        <v>742.5</v>
      </c>
      <c r="D42" s="19">
        <f>(D11+D16+D12+D17+D13+D14)*B42</f>
        <v>748.87500000000011</v>
      </c>
      <c r="E42" s="19">
        <f>(E11+E16+E12+E17+E13+E14)*B42</f>
        <v>733.26900000000001</v>
      </c>
      <c r="F42" s="19">
        <f>(F11+F16+F12+F17+F13+F14)*B42</f>
        <v>735.77243250000004</v>
      </c>
      <c r="G42" s="19">
        <f>(G11+G16+G12+G17+G13+G14)*B42</f>
        <v>740.6004726000001</v>
      </c>
    </row>
    <row r="43" spans="1:8" x14ac:dyDescent="0.25">
      <c r="A43" s="15" t="s">
        <v>51</v>
      </c>
      <c r="B43" s="22">
        <v>10</v>
      </c>
      <c r="C43" s="19">
        <f>(C11+C16+C12+C17+C13+C14)*B43</f>
        <v>495</v>
      </c>
      <c r="D43" s="19">
        <f>(D11+D16+D12+D17+D13+D14)*B43</f>
        <v>499.25000000000006</v>
      </c>
      <c r="E43" s="19">
        <f>(E11+E16+E12+E17+E13+E14)*B43</f>
        <v>488.846</v>
      </c>
      <c r="F43" s="19">
        <f>(F11+F16+F12+F17+F13+F14)*B43</f>
        <v>490.51495499999999</v>
      </c>
      <c r="G43" s="19">
        <f>(G11+G16+G12+G17+G13+G14)*B43</f>
        <v>493.73364840000011</v>
      </c>
    </row>
    <row r="44" spans="1:8" x14ac:dyDescent="0.25">
      <c r="A44" s="15" t="s">
        <v>52</v>
      </c>
      <c r="B44" s="22">
        <v>40</v>
      </c>
      <c r="C44" s="19">
        <f>(C11+C16+C12+C17+C13+C14)*B44</f>
        <v>1980</v>
      </c>
      <c r="D44" s="19">
        <f>(D11+D16+D12+D17+D13+D14)*B44</f>
        <v>1997.0000000000002</v>
      </c>
      <c r="E44" s="19">
        <f>(E11+E16+E12+E17+E13+E14)*B44</f>
        <v>1955.384</v>
      </c>
      <c r="F44" s="19">
        <f>(F11+F16+F12+F17+F13+F14)*B44</f>
        <v>1962.0598199999999</v>
      </c>
      <c r="G44" s="19">
        <f>(G11+G16+G12+G17+G13+G14)*B44</f>
        <v>1974.9345936000004</v>
      </c>
    </row>
    <row r="45" spans="1:8" x14ac:dyDescent="0.25">
      <c r="A45" s="15" t="s">
        <v>53</v>
      </c>
      <c r="B45" s="22">
        <v>30</v>
      </c>
      <c r="C45" s="19">
        <f>(C11+C16+C12+C17+C13+C14)*B45</f>
        <v>1485</v>
      </c>
      <c r="D45" s="19">
        <f>(D11+D16+D12+D17+D13+D14)*B45</f>
        <v>1497.7500000000002</v>
      </c>
      <c r="E45" s="19">
        <f>(E11+E16+E12+E17+E13+E14)*B45</f>
        <v>1466.538</v>
      </c>
      <c r="F45" s="19">
        <f>(F11+F16+F12+F17+F13+F14)*B45</f>
        <v>1471.5448650000001</v>
      </c>
      <c r="G45" s="19">
        <f>(G11+G16+G12+G17+G13+G14)*B45</f>
        <v>1481.2009452000002</v>
      </c>
    </row>
    <row r="46" spans="1:8" x14ac:dyDescent="0.25">
      <c r="A46" s="11" t="s">
        <v>54</v>
      </c>
      <c r="B46" s="11"/>
      <c r="C46" s="19">
        <f>SUM(C36:C45)</f>
        <v>21587.5</v>
      </c>
      <c r="D46" s="19">
        <f t="shared" ref="D46:G46" si="15">SUM(D36:D45)</f>
        <v>21855.793499999996</v>
      </c>
      <c r="E46" s="19">
        <f t="shared" si="15"/>
        <v>21571.188025000003</v>
      </c>
      <c r="F46" s="19">
        <f t="shared" si="15"/>
        <v>21623.484148249998</v>
      </c>
      <c r="G46" s="19">
        <f t="shared" si="15"/>
        <v>21821.750282072506</v>
      </c>
    </row>
    <row r="47" spans="1:8" x14ac:dyDescent="0.25">
      <c r="A47" s="15" t="s">
        <v>55</v>
      </c>
      <c r="B47" s="15"/>
      <c r="C47" s="19">
        <f>C46/(C11+C16+C13+C14)</f>
        <v>560.71428571428567</v>
      </c>
      <c r="D47" s="19">
        <f>D46/(D11+D16+D13+D14)</f>
        <v>562.82221077705515</v>
      </c>
      <c r="E47" s="19">
        <f>E46/(E11+E16+E13+E14)</f>
        <v>560.91561831235333</v>
      </c>
      <c r="F47" s="19">
        <f>F46/(F11+F16+F13+F14)</f>
        <v>560.17118913127979</v>
      </c>
      <c r="G47" s="19">
        <f>G46/(G11+G16+G13+G14)</f>
        <v>558.8327139062219</v>
      </c>
    </row>
    <row r="48" spans="1:8" x14ac:dyDescent="0.25">
      <c r="C48" s="19"/>
      <c r="D48" s="19"/>
      <c r="E48" s="19"/>
      <c r="F48" s="19"/>
      <c r="G48" s="19"/>
    </row>
    <row r="49" spans="1:12" x14ac:dyDescent="0.25">
      <c r="A49" s="11" t="s">
        <v>56</v>
      </c>
      <c r="B49" s="11"/>
      <c r="C49" s="19">
        <f>C32-C46</f>
        <v>9272.5</v>
      </c>
      <c r="D49" s="19">
        <f t="shared" ref="D49:G49" si="16">D32-D46</f>
        <v>11676.481500000005</v>
      </c>
      <c r="E49" s="19">
        <f t="shared" si="16"/>
        <v>12302.868974999998</v>
      </c>
      <c r="F49" s="19">
        <f t="shared" si="16"/>
        <v>13783.354399249998</v>
      </c>
      <c r="G49" s="19">
        <f t="shared" si="16"/>
        <v>15124.474963227491</v>
      </c>
    </row>
    <row r="50" spans="1:12" x14ac:dyDescent="0.25">
      <c r="A50" s="15" t="s">
        <v>57</v>
      </c>
      <c r="B50" s="15"/>
      <c r="C50" s="19">
        <f>C49/(C16+C11)</f>
        <v>421.47727272727275</v>
      </c>
      <c r="D50" s="19">
        <f>D49/(D16+D11)</f>
        <v>513.47763852242758</v>
      </c>
      <c r="E50" s="19">
        <f>E49/(E16+E11)</f>
        <v>544.95706584691152</v>
      </c>
      <c r="F50" s="19">
        <f>F49/(F16+F11)</f>
        <v>605.99137403373265</v>
      </c>
      <c r="G50" s="19">
        <f>G49/(G16+G11)</f>
        <v>659.31404574693158</v>
      </c>
    </row>
    <row r="51" spans="1:12" x14ac:dyDescent="0.25">
      <c r="A51" s="16" t="s">
        <v>58</v>
      </c>
      <c r="B51" s="16"/>
      <c r="C51" s="17">
        <f>(C49/(((C11+C13)*C26)+(C16*C29)+(((C14*0.5)-C21)*C22)+D8))*100</f>
        <v>9.2899185973700682</v>
      </c>
      <c r="D51" s="17">
        <f>(D49/(((D11+D13)*D26)+(D16*D29)+(((D14*0.5)-D21)*D22)+E8))*100</f>
        <v>14.64578657807143</v>
      </c>
      <c r="E51" s="17">
        <f>(E49/(((E11+E13)*E26)+(E16*E29)+(((E14*0.5)-E21)*E22)+F8))*100</f>
        <v>14.834343595505603</v>
      </c>
      <c r="F51" s="17">
        <f>(F49/(((F11+F13)*F26)+(F16*F29)+(((F14*0.5)-F21)*F22)+G8))*100</f>
        <v>15.782939488257147</v>
      </c>
      <c r="G51" s="17">
        <f>(G49/(((G11+G13)*G26)+(G16*G29)+(((G14*0.5)-G21)*G22)+H8))*100</f>
        <v>16.541597876402779</v>
      </c>
      <c r="H51" s="27">
        <f>SUM(C51:G51)/5</f>
        <v>14.218917227121405</v>
      </c>
    </row>
    <row r="52" spans="1:12" x14ac:dyDescent="0.25">
      <c r="C52" s="14"/>
      <c r="D52" s="14"/>
      <c r="E52" s="14"/>
      <c r="F52" s="14"/>
      <c r="G52" s="14"/>
      <c r="I52" s="14"/>
      <c r="J52" s="14"/>
      <c r="K52" s="14"/>
      <c r="L52" s="14"/>
    </row>
    <row r="53" spans="1:12" x14ac:dyDescent="0.25">
      <c r="A53" s="5" t="s">
        <v>59</v>
      </c>
      <c r="C53" s="14"/>
      <c r="E53" s="14"/>
    </row>
    <row r="54" spans="1:12" x14ac:dyDescent="0.25">
      <c r="A54" s="1" t="s">
        <v>60</v>
      </c>
      <c r="B54" s="34">
        <f>G19</f>
        <v>91362.196959065317</v>
      </c>
      <c r="C54" s="29"/>
    </row>
    <row r="55" spans="1:12" x14ac:dyDescent="0.25">
      <c r="A55" s="1" t="s">
        <v>61</v>
      </c>
      <c r="B55" s="34">
        <f>(C8+D8)*0.5</f>
        <v>33200</v>
      </c>
      <c r="C55" s="29" t="s">
        <v>76</v>
      </c>
    </row>
    <row r="56" spans="1:12" x14ac:dyDescent="0.25">
      <c r="A56" s="5" t="s">
        <v>62</v>
      </c>
      <c r="B56" s="33">
        <f>SUM(B54:B55)</f>
        <v>124562.19695906532</v>
      </c>
      <c r="D56" s="1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G3" sqref="G3"/>
    </sheetView>
  </sheetViews>
  <sheetFormatPr defaultColWidth="11.42578125" defaultRowHeight="15.75" x14ac:dyDescent="0.25"/>
  <cols>
    <col min="1" max="1" width="27.5703125" style="1" customWidth="1"/>
    <col min="2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1" width="14.42578125" style="1" customWidth="1"/>
    <col min="12" max="12" width="15.140625" style="1" customWidth="1"/>
    <col min="13" max="13" width="12.7109375" style="1" customWidth="1"/>
    <col min="14" max="22" width="10.7109375" style="1" customWidth="1"/>
    <col min="23" max="16384" width="11.42578125" style="1"/>
  </cols>
  <sheetData>
    <row r="1" spans="1:14" ht="23.25" x14ac:dyDescent="0.35">
      <c r="E1" s="2" t="s">
        <v>0</v>
      </c>
      <c r="N1" s="3" t="s">
        <v>1</v>
      </c>
    </row>
    <row r="2" spans="1:14" ht="23.25" x14ac:dyDescent="0.35">
      <c r="E2" s="2"/>
      <c r="N2" s="1" t="s">
        <v>2</v>
      </c>
    </row>
    <row r="3" spans="1:14" ht="18.75" x14ac:dyDescent="0.3">
      <c r="A3" s="4" t="s">
        <v>3</v>
      </c>
      <c r="B3" s="4"/>
      <c r="N3" s="1" t="s">
        <v>4</v>
      </c>
    </row>
    <row r="4" spans="1:14" x14ac:dyDescent="0.25">
      <c r="A4" s="5"/>
      <c r="B4" s="5"/>
      <c r="I4" s="6"/>
      <c r="L4" s="6"/>
      <c r="M4" s="6"/>
      <c r="N4" s="1" t="s">
        <v>5</v>
      </c>
    </row>
    <row r="5" spans="1:14" x14ac:dyDescent="0.25">
      <c r="A5" s="5" t="s">
        <v>6</v>
      </c>
      <c r="B5" s="5"/>
      <c r="I5" s="6"/>
      <c r="N5" s="1" t="s">
        <v>7</v>
      </c>
    </row>
    <row r="6" spans="1:14" x14ac:dyDescent="0.25">
      <c r="I6" s="6"/>
      <c r="J6" s="6"/>
      <c r="N6" s="1" t="s">
        <v>8</v>
      </c>
    </row>
    <row r="7" spans="1:14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H7" s="7"/>
      <c r="J7" s="7"/>
      <c r="L7" s="7"/>
      <c r="N7" s="1" t="s">
        <v>13</v>
      </c>
    </row>
    <row r="8" spans="1:14" s="5" customFormat="1" x14ac:dyDescent="0.25">
      <c r="A8" s="32">
        <f>SUM(C8:G8)</f>
        <v>66400</v>
      </c>
      <c r="B8" s="32"/>
      <c r="C8" s="31">
        <v>40000</v>
      </c>
      <c r="D8" s="31">
        <v>26400</v>
      </c>
      <c r="E8" s="33">
        <v>0</v>
      </c>
      <c r="H8" s="7"/>
      <c r="J8" s="7"/>
      <c r="K8" s="9"/>
      <c r="L8" s="10"/>
      <c r="N8" s="1" t="s">
        <v>14</v>
      </c>
    </row>
    <row r="9" spans="1:14" s="5" customFormat="1" x14ac:dyDescent="0.25">
      <c r="A9" s="7"/>
      <c r="B9" s="7"/>
      <c r="D9" s="8"/>
      <c r="F9" s="8"/>
      <c r="H9" s="7"/>
      <c r="J9" s="7"/>
      <c r="K9" s="9"/>
      <c r="L9" s="10"/>
      <c r="N9" s="5" t="s">
        <v>15</v>
      </c>
    </row>
    <row r="10" spans="1:14" x14ac:dyDescent="0.25">
      <c r="A10" s="11" t="s">
        <v>16</v>
      </c>
      <c r="B10" s="11" t="s">
        <v>17</v>
      </c>
      <c r="C10" s="8">
        <v>1</v>
      </c>
      <c r="D10" s="8">
        <f>SUM(C10+1)</f>
        <v>2</v>
      </c>
      <c r="E10" s="8">
        <f t="shared" ref="E10:L10" si="0">SUM(D10+1)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</row>
    <row r="11" spans="1:14" x14ac:dyDescent="0.25">
      <c r="A11" s="12" t="s">
        <v>18</v>
      </c>
      <c r="B11" s="12"/>
      <c r="C11" s="13">
        <v>10</v>
      </c>
      <c r="D11" s="14">
        <f t="shared" ref="D11:L11" si="1">(C11+C12)-C25</f>
        <v>10</v>
      </c>
      <c r="E11" s="14">
        <f t="shared" si="1"/>
        <v>10</v>
      </c>
      <c r="F11" s="14">
        <f t="shared" si="1"/>
        <v>10.092500000000001</v>
      </c>
      <c r="G11" s="14">
        <f t="shared" si="1"/>
        <v>10.427500000000002</v>
      </c>
      <c r="H11" s="14">
        <f t="shared" si="1"/>
        <v>10.542431250000002</v>
      </c>
      <c r="I11" s="14">
        <f t="shared" si="1"/>
        <v>10.752058750000003</v>
      </c>
      <c r="J11" s="14">
        <f t="shared" si="1"/>
        <v>10.038299578125006</v>
      </c>
      <c r="K11" s="14">
        <f t="shared" si="1"/>
        <v>10.392097571875006</v>
      </c>
      <c r="L11" s="14">
        <f t="shared" si="1"/>
        <v>9.8458097676953216</v>
      </c>
    </row>
    <row r="12" spans="1:14" x14ac:dyDescent="0.25">
      <c r="A12" s="12" t="s">
        <v>19</v>
      </c>
      <c r="B12" s="12"/>
      <c r="C12" s="13">
        <v>5</v>
      </c>
      <c r="D12" s="14">
        <f t="shared" ref="D12:L12" si="2">C13</f>
        <v>6</v>
      </c>
      <c r="E12" s="14">
        <f t="shared" si="2"/>
        <v>5.0925000000000002</v>
      </c>
      <c r="F12" s="14">
        <f t="shared" si="2"/>
        <v>5.335</v>
      </c>
      <c r="G12" s="14">
        <f t="shared" si="2"/>
        <v>5.1149312499999997</v>
      </c>
      <c r="H12" s="14">
        <f t="shared" si="2"/>
        <v>5.2096275000000007</v>
      </c>
      <c r="I12" s="14">
        <f t="shared" si="2"/>
        <v>5.2862408281250008</v>
      </c>
      <c r="J12" s="14">
        <f t="shared" si="2"/>
        <v>5.3537979937500006</v>
      </c>
      <c r="K12" s="14">
        <f t="shared" si="2"/>
        <v>5.453712195820315</v>
      </c>
      <c r="L12" s="14">
        <f t="shared" si="2"/>
        <v>5.1931562497968775</v>
      </c>
    </row>
    <row r="13" spans="1:14" x14ac:dyDescent="0.25">
      <c r="A13" s="12" t="s">
        <v>20</v>
      </c>
      <c r="B13" s="12"/>
      <c r="C13" s="13">
        <v>6</v>
      </c>
      <c r="D13" s="14">
        <f t="shared" ref="D13:L13" si="3">(C14*0.5)*0.97</f>
        <v>5.0925000000000002</v>
      </c>
      <c r="E13" s="14">
        <f t="shared" si="3"/>
        <v>5.335</v>
      </c>
      <c r="F13" s="14">
        <f t="shared" si="3"/>
        <v>5.1149312499999997</v>
      </c>
      <c r="G13" s="14">
        <f t="shared" si="3"/>
        <v>5.2096275000000007</v>
      </c>
      <c r="H13" s="14">
        <f t="shared" si="3"/>
        <v>5.2862408281250008</v>
      </c>
      <c r="I13" s="14">
        <f t="shared" si="3"/>
        <v>5.3537979937500006</v>
      </c>
      <c r="J13" s="14">
        <f t="shared" si="3"/>
        <v>5.453712195820315</v>
      </c>
      <c r="K13" s="14">
        <f t="shared" si="3"/>
        <v>5.1931562497968775</v>
      </c>
      <c r="L13" s="14">
        <f t="shared" si="3"/>
        <v>5.3546590653739283</v>
      </c>
    </row>
    <row r="14" spans="1:14" x14ac:dyDescent="0.25">
      <c r="A14" s="15" t="s">
        <v>21</v>
      </c>
      <c r="B14" s="15"/>
      <c r="C14" s="14">
        <f t="shared" ref="C14:L14" si="4">((C11*C15)+(C12*0.5))</f>
        <v>10.5</v>
      </c>
      <c r="D14" s="14">
        <f t="shared" si="4"/>
        <v>11</v>
      </c>
      <c r="E14" s="14">
        <f t="shared" si="4"/>
        <v>10.546250000000001</v>
      </c>
      <c r="F14" s="14">
        <f t="shared" si="4"/>
        <v>10.741500000000002</v>
      </c>
      <c r="G14" s="14">
        <f t="shared" si="4"/>
        <v>10.899465625000001</v>
      </c>
      <c r="H14" s="14">
        <f t="shared" si="4"/>
        <v>11.038758750000001</v>
      </c>
      <c r="I14" s="14">
        <f t="shared" si="4"/>
        <v>11.244767414062505</v>
      </c>
      <c r="J14" s="14">
        <f t="shared" si="4"/>
        <v>10.707538659375006</v>
      </c>
      <c r="K14" s="14">
        <f t="shared" si="4"/>
        <v>11.040534155410162</v>
      </c>
      <c r="L14" s="14">
        <f t="shared" si="4"/>
        <v>10.473225939054696</v>
      </c>
    </row>
    <row r="15" spans="1:14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  <c r="H15" s="17">
        <v>0.8</v>
      </c>
      <c r="I15" s="17">
        <v>0.8</v>
      </c>
      <c r="J15" s="17">
        <v>0.8</v>
      </c>
      <c r="K15" s="17">
        <v>0.8</v>
      </c>
      <c r="L15" s="17">
        <v>0.8</v>
      </c>
    </row>
    <row r="16" spans="1:14" x14ac:dyDescent="0.25">
      <c r="A16" s="15" t="s">
        <v>23</v>
      </c>
      <c r="B16" s="15"/>
      <c r="C16" s="18">
        <v>13</v>
      </c>
      <c r="D16" s="14">
        <f t="shared" ref="D16:L16" si="5">((C16+C17)-(C23+C28))*0.98</f>
        <v>12.74</v>
      </c>
      <c r="E16" s="14">
        <f t="shared" si="5"/>
        <v>12.575849999999999</v>
      </c>
      <c r="F16" s="14">
        <f t="shared" si="5"/>
        <v>12.652633</v>
      </c>
      <c r="G16" s="14">
        <f t="shared" si="5"/>
        <v>12.512212965</v>
      </c>
      <c r="H16" s="14">
        <f t="shared" si="5"/>
        <v>12.4674036557</v>
      </c>
      <c r="I16" s="14">
        <f t="shared" si="5"/>
        <v>12.498571594148499</v>
      </c>
      <c r="J16" s="14">
        <f t="shared" si="5"/>
        <v>12.595322196140531</v>
      </c>
      <c r="K16" s="14">
        <f t="shared" si="5"/>
        <v>12.788053704121628</v>
      </c>
      <c r="L16" s="14">
        <f t="shared" si="5"/>
        <v>12.721585754840135</v>
      </c>
    </row>
    <row r="17" spans="1:20" x14ac:dyDescent="0.25">
      <c r="A17" s="12" t="s">
        <v>24</v>
      </c>
      <c r="B17" s="12"/>
      <c r="C17" s="13">
        <v>5</v>
      </c>
      <c r="D17" s="14">
        <f t="shared" ref="D17:L17" si="6">(C14*0.5)*0.97</f>
        <v>5.0925000000000002</v>
      </c>
      <c r="E17" s="14">
        <f t="shared" si="6"/>
        <v>5.335</v>
      </c>
      <c r="F17" s="14">
        <f t="shared" si="6"/>
        <v>5.1149312499999997</v>
      </c>
      <c r="G17" s="14">
        <f t="shared" si="6"/>
        <v>5.2096275000000007</v>
      </c>
      <c r="H17" s="14">
        <f t="shared" si="6"/>
        <v>5.2862408281250008</v>
      </c>
      <c r="I17" s="14">
        <f t="shared" si="6"/>
        <v>5.3537979937500006</v>
      </c>
      <c r="J17" s="14">
        <f t="shared" si="6"/>
        <v>5.453712195820315</v>
      </c>
      <c r="K17" s="14">
        <f t="shared" si="6"/>
        <v>5.1931562497968775</v>
      </c>
      <c r="L17" s="14">
        <f t="shared" si="6"/>
        <v>5.3546590653739283</v>
      </c>
    </row>
    <row r="18" spans="1:20" x14ac:dyDescent="0.25">
      <c r="A18" s="15" t="s">
        <v>25</v>
      </c>
      <c r="B18" s="15"/>
      <c r="C18" s="14">
        <f t="shared" ref="C18:L18" si="7">SUM(C11:C17)</f>
        <v>50.3</v>
      </c>
      <c r="D18" s="14">
        <f t="shared" si="7"/>
        <v>50.725000000000001</v>
      </c>
      <c r="E18" s="14">
        <f t="shared" si="7"/>
        <v>49.684600000000003</v>
      </c>
      <c r="F18" s="14">
        <f t="shared" si="7"/>
        <v>49.851495499999999</v>
      </c>
      <c r="G18" s="14">
        <f t="shared" si="7"/>
        <v>50.173364840000012</v>
      </c>
      <c r="H18" s="14">
        <f t="shared" si="7"/>
        <v>50.630702811950002</v>
      </c>
      <c r="I18" s="14">
        <f t="shared" si="7"/>
        <v>51.289234573836005</v>
      </c>
      <c r="J18" s="14">
        <f t="shared" si="7"/>
        <v>50.402382819031168</v>
      </c>
      <c r="K18" s="14">
        <f t="shared" si="7"/>
        <v>50.860710126820869</v>
      </c>
      <c r="L18" s="14">
        <f t="shared" si="7"/>
        <v>49.743095842134892</v>
      </c>
    </row>
    <row r="19" spans="1:20" x14ac:dyDescent="0.25">
      <c r="A19" s="15" t="s">
        <v>26</v>
      </c>
      <c r="B19" s="15"/>
      <c r="C19" s="19">
        <f t="shared" ref="C19:L19" si="8">SUM(C11*C26)+((C16*0.25)*C24)+(C16*0.75*C29)+(C13*C22)+(C14*C22)+(C12*0.85*C26)+(C17*1000)</f>
        <v>78725</v>
      </c>
      <c r="D19" s="19">
        <f t="shared" si="8"/>
        <v>87052.75</v>
      </c>
      <c r="E19" s="19">
        <f t="shared" si="8"/>
        <v>89501.433143749993</v>
      </c>
      <c r="F19" s="19">
        <f t="shared" si="8"/>
        <v>94134.788020468739</v>
      </c>
      <c r="G19" s="19">
        <f t="shared" si="8"/>
        <v>98509.324436295123</v>
      </c>
      <c r="H19" s="19">
        <f t="shared" si="8"/>
        <v>103543.58511223491</v>
      </c>
      <c r="I19" s="19">
        <f t="shared" si="8"/>
        <v>109390.99655226638</v>
      </c>
      <c r="J19" s="19">
        <f t="shared" si="8"/>
        <v>113711.22136385928</v>
      </c>
      <c r="K19" s="19">
        <f t="shared" si="8"/>
        <v>120669.20033160431</v>
      </c>
      <c r="L19" s="19">
        <f t="shared" si="8"/>
        <v>124449.80022923836</v>
      </c>
    </row>
    <row r="20" spans="1:20" x14ac:dyDescent="0.25">
      <c r="A20" s="11" t="s">
        <v>27</v>
      </c>
      <c r="B20" s="11"/>
    </row>
    <row r="21" spans="1:20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20" x14ac:dyDescent="0.25">
      <c r="A22" s="15" t="s">
        <v>29</v>
      </c>
      <c r="B22" s="15"/>
      <c r="C22" s="19">
        <v>650</v>
      </c>
      <c r="D22" s="19">
        <v>1000</v>
      </c>
      <c r="E22" s="19">
        <f t="shared" ref="E22:L22" si="9">D22*1.05</f>
        <v>1050</v>
      </c>
      <c r="F22" s="19">
        <f t="shared" si="9"/>
        <v>1102.5</v>
      </c>
      <c r="G22" s="19">
        <f t="shared" si="9"/>
        <v>1157.625</v>
      </c>
      <c r="H22" s="19">
        <f t="shared" si="9"/>
        <v>1215.5062500000001</v>
      </c>
      <c r="I22" s="19">
        <f t="shared" si="9"/>
        <v>1276.2815625000003</v>
      </c>
      <c r="J22" s="19">
        <f t="shared" si="9"/>
        <v>1340.0956406250004</v>
      </c>
      <c r="K22" s="19">
        <f t="shared" si="9"/>
        <v>1407.1004226562504</v>
      </c>
      <c r="L22" s="19">
        <f t="shared" si="9"/>
        <v>1477.4554437890631</v>
      </c>
    </row>
    <row r="23" spans="1:20" x14ac:dyDescent="0.25">
      <c r="A23" s="12" t="s">
        <v>30</v>
      </c>
      <c r="B23" s="12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20" x14ac:dyDescent="0.25">
      <c r="A24" s="12" t="s">
        <v>31</v>
      </c>
      <c r="B24" s="12"/>
      <c r="C24" s="19">
        <v>1500</v>
      </c>
      <c r="D24" s="19">
        <f>C24*1.05</f>
        <v>1575</v>
      </c>
      <c r="E24" s="19">
        <f t="shared" ref="E24:L24" si="10">D24*1.05</f>
        <v>1653.75</v>
      </c>
      <c r="F24" s="19">
        <f t="shared" si="10"/>
        <v>1736.4375</v>
      </c>
      <c r="G24" s="19">
        <f t="shared" si="10"/>
        <v>1823.2593750000001</v>
      </c>
      <c r="H24" s="19">
        <f t="shared" si="10"/>
        <v>1914.4223437500002</v>
      </c>
      <c r="I24" s="19">
        <f t="shared" si="10"/>
        <v>2010.1434609375003</v>
      </c>
      <c r="J24" s="19">
        <f t="shared" si="10"/>
        <v>2110.6506339843754</v>
      </c>
      <c r="K24" s="19">
        <f t="shared" si="10"/>
        <v>2216.1831656835943</v>
      </c>
      <c r="L24" s="19">
        <f t="shared" si="10"/>
        <v>2326.9923239677742</v>
      </c>
      <c r="T24" s="14"/>
    </row>
    <row r="25" spans="1:20" x14ac:dyDescent="0.25">
      <c r="A25" s="15" t="s">
        <v>32</v>
      </c>
      <c r="B25" s="15"/>
      <c r="C25" s="18">
        <v>5</v>
      </c>
      <c r="D25" s="18">
        <v>6</v>
      </c>
      <c r="E25" s="18">
        <v>5</v>
      </c>
      <c r="F25" s="18">
        <v>5</v>
      </c>
      <c r="G25" s="18">
        <v>5</v>
      </c>
      <c r="H25" s="18">
        <v>5</v>
      </c>
      <c r="I25" s="18">
        <v>6</v>
      </c>
      <c r="J25" s="18">
        <v>5</v>
      </c>
      <c r="K25" s="18">
        <v>6</v>
      </c>
      <c r="L25" s="18">
        <v>6</v>
      </c>
    </row>
    <row r="26" spans="1:20" x14ac:dyDescent="0.25">
      <c r="A26" s="15" t="s">
        <v>33</v>
      </c>
      <c r="B26" s="15"/>
      <c r="C26" s="19">
        <v>1000</v>
      </c>
      <c r="D26" s="19">
        <f>C26*1.04</f>
        <v>1040</v>
      </c>
      <c r="E26" s="19">
        <f>D26*1.04</f>
        <v>1081.6000000000001</v>
      </c>
      <c r="F26" s="19">
        <f t="shared" ref="F26:L26" si="11">E26*1.05</f>
        <v>1135.6800000000003</v>
      </c>
      <c r="G26" s="19">
        <f t="shared" si="11"/>
        <v>1192.4640000000004</v>
      </c>
      <c r="H26" s="19">
        <f t="shared" si="11"/>
        <v>1252.0872000000004</v>
      </c>
      <c r="I26" s="19">
        <f t="shared" si="11"/>
        <v>1314.6915600000004</v>
      </c>
      <c r="J26" s="19">
        <f t="shared" si="11"/>
        <v>1380.4261380000005</v>
      </c>
      <c r="K26" s="19">
        <f t="shared" si="11"/>
        <v>1449.4474449000006</v>
      </c>
      <c r="L26" s="19">
        <f t="shared" si="11"/>
        <v>1521.9198171450007</v>
      </c>
    </row>
    <row r="27" spans="1:20" x14ac:dyDescent="0.25">
      <c r="A27" s="12" t="s">
        <v>34</v>
      </c>
      <c r="B27" s="12"/>
      <c r="C27" s="14">
        <f>C18*0.02</f>
        <v>1.006</v>
      </c>
      <c r="D27" s="14">
        <f t="shared" ref="D27:L27" si="12">D18*0.02</f>
        <v>1.0145</v>
      </c>
      <c r="E27" s="14">
        <f t="shared" si="12"/>
        <v>0.99369200000000013</v>
      </c>
      <c r="F27" s="14">
        <f t="shared" si="12"/>
        <v>0.99702990999999996</v>
      </c>
      <c r="G27" s="14">
        <f t="shared" si="12"/>
        <v>1.0034672968000002</v>
      </c>
      <c r="H27" s="14">
        <f t="shared" si="12"/>
        <v>1.012614056239</v>
      </c>
      <c r="I27" s="14">
        <f t="shared" si="12"/>
        <v>1.0257846914767201</v>
      </c>
      <c r="J27" s="14">
        <f t="shared" si="12"/>
        <v>1.0080476563806233</v>
      </c>
      <c r="K27" s="14">
        <f t="shared" si="12"/>
        <v>1.0172142025364175</v>
      </c>
      <c r="L27" s="14">
        <f t="shared" si="12"/>
        <v>0.99486191684269787</v>
      </c>
    </row>
    <row r="28" spans="1:20" x14ac:dyDescent="0.25">
      <c r="A28" s="12" t="s">
        <v>35</v>
      </c>
      <c r="B28" s="12"/>
      <c r="C28" s="13">
        <v>5</v>
      </c>
      <c r="D28" s="13">
        <v>5</v>
      </c>
      <c r="E28" s="13">
        <v>5</v>
      </c>
      <c r="F28" s="13">
        <v>5</v>
      </c>
      <c r="G28" s="13">
        <v>5</v>
      </c>
      <c r="H28" s="13">
        <v>5</v>
      </c>
      <c r="I28" s="13">
        <v>5</v>
      </c>
      <c r="J28" s="13">
        <v>5</v>
      </c>
      <c r="K28" s="13">
        <v>5</v>
      </c>
      <c r="L28" s="13">
        <v>5</v>
      </c>
    </row>
    <row r="29" spans="1:20" x14ac:dyDescent="0.25">
      <c r="A29" s="12" t="s">
        <v>36</v>
      </c>
      <c r="B29" s="12"/>
      <c r="C29" s="19">
        <v>4500</v>
      </c>
      <c r="D29" s="19">
        <f t="shared" ref="D29:L29" si="13">C29*1.05</f>
        <v>4725</v>
      </c>
      <c r="E29" s="19">
        <f t="shared" si="13"/>
        <v>4961.25</v>
      </c>
      <c r="F29" s="19">
        <f t="shared" si="13"/>
        <v>5209.3125</v>
      </c>
      <c r="G29" s="19">
        <f t="shared" si="13"/>
        <v>5469.7781249999998</v>
      </c>
      <c r="H29" s="19">
        <f t="shared" si="13"/>
        <v>5743.2670312500004</v>
      </c>
      <c r="I29" s="19">
        <f t="shared" si="13"/>
        <v>6030.4303828125003</v>
      </c>
      <c r="J29" s="19">
        <f t="shared" si="13"/>
        <v>6331.9519019531253</v>
      </c>
      <c r="K29" s="19">
        <f t="shared" si="13"/>
        <v>6648.5494970507816</v>
      </c>
      <c r="L29" s="19">
        <f t="shared" si="13"/>
        <v>6980.9769719033211</v>
      </c>
    </row>
    <row r="30" spans="1:20" x14ac:dyDescent="0.25">
      <c r="A30" s="15" t="s">
        <v>37</v>
      </c>
      <c r="B30" s="15"/>
      <c r="C30" s="20">
        <f t="shared" ref="C30:L30" si="14">((C16-C28)*12)+(C17*2)</f>
        <v>106</v>
      </c>
      <c r="D30" s="20">
        <f t="shared" si="14"/>
        <v>103.065</v>
      </c>
      <c r="E30" s="20">
        <f t="shared" si="14"/>
        <v>101.58019999999999</v>
      </c>
      <c r="F30" s="20">
        <f t="shared" si="14"/>
        <v>102.06145849999999</v>
      </c>
      <c r="G30" s="20">
        <f t="shared" si="14"/>
        <v>100.56581058</v>
      </c>
      <c r="H30" s="20">
        <f t="shared" si="14"/>
        <v>100.18132552465001</v>
      </c>
      <c r="I30" s="20">
        <f t="shared" si="14"/>
        <v>100.69045511728199</v>
      </c>
      <c r="J30" s="20">
        <f t="shared" si="14"/>
        <v>102.05129074532701</v>
      </c>
      <c r="K30" s="20">
        <f t="shared" si="14"/>
        <v>103.84295694905329</v>
      </c>
      <c r="L30" s="20">
        <f t="shared" si="14"/>
        <v>103.36834718882947</v>
      </c>
    </row>
    <row r="31" spans="1:20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  <c r="H31" s="21">
        <v>35</v>
      </c>
      <c r="I31" s="21">
        <v>35</v>
      </c>
      <c r="J31" s="21">
        <v>35</v>
      </c>
      <c r="K31" s="21">
        <v>35</v>
      </c>
      <c r="L31" s="21">
        <v>35</v>
      </c>
    </row>
    <row r="32" spans="1:20" x14ac:dyDescent="0.25">
      <c r="A32" s="11" t="s">
        <v>39</v>
      </c>
      <c r="B32" s="11"/>
      <c r="C32" s="19">
        <f>(C21*C22)+(C23*C24)+(C25*C26)+(C28*C29)+(C30*C31)</f>
        <v>31210</v>
      </c>
      <c r="D32" s="19">
        <f t="shared" ref="D32:L32" si="15">(D21*D22)+(D23*D24)+(D25*D26)+(D28*D29)+(D30*D31)</f>
        <v>33472.275000000001</v>
      </c>
      <c r="E32" s="19">
        <f t="shared" si="15"/>
        <v>33769.557000000001</v>
      </c>
      <c r="F32" s="19">
        <f t="shared" si="15"/>
        <v>35297.113547500005</v>
      </c>
      <c r="G32" s="19">
        <f t="shared" si="15"/>
        <v>36831.013995300003</v>
      </c>
      <c r="H32" s="19">
        <f t="shared" si="15"/>
        <v>38483.117549612754</v>
      </c>
      <c r="I32" s="19">
        <f t="shared" si="15"/>
        <v>41564.467203167376</v>
      </c>
      <c r="J32" s="19">
        <f t="shared" si="15"/>
        <v>42133.685375852074</v>
      </c>
      <c r="K32" s="19">
        <f t="shared" si="15"/>
        <v>45573.935647870778</v>
      </c>
      <c r="L32" s="19">
        <f t="shared" si="15"/>
        <v>47654.295913995644</v>
      </c>
    </row>
    <row r="33" spans="1:13" x14ac:dyDescent="0.25">
      <c r="A33" s="15" t="s">
        <v>40</v>
      </c>
      <c r="B33" s="15"/>
      <c r="C33" s="19">
        <f t="shared" ref="C33:L33" si="16">C32/(C16+C11)</f>
        <v>1356.9565217391305</v>
      </c>
      <c r="D33" s="19">
        <f t="shared" si="16"/>
        <v>1471.9558047493404</v>
      </c>
      <c r="E33" s="19">
        <f t="shared" si="16"/>
        <v>1495.8266023206215</v>
      </c>
      <c r="F33" s="19">
        <f t="shared" si="16"/>
        <v>1551.8534689377284</v>
      </c>
      <c r="G33" s="19">
        <f t="shared" si="16"/>
        <v>1605.5568808334476</v>
      </c>
      <c r="H33" s="19">
        <f t="shared" si="16"/>
        <v>1672.4638706590504</v>
      </c>
      <c r="I33" s="19">
        <f t="shared" si="16"/>
        <v>1787.6705529245112</v>
      </c>
      <c r="J33" s="19">
        <f t="shared" si="16"/>
        <v>1861.5529496811748</v>
      </c>
      <c r="K33" s="19">
        <f t="shared" si="16"/>
        <v>1966.0758510693247</v>
      </c>
      <c r="L33" s="19">
        <f t="shared" si="16"/>
        <v>2111.643581839508</v>
      </c>
    </row>
    <row r="34" spans="1:13" x14ac:dyDescent="0.25">
      <c r="C34" s="14"/>
    </row>
    <row r="35" spans="1:13" x14ac:dyDescent="0.25">
      <c r="A35" s="11" t="s">
        <v>41</v>
      </c>
      <c r="B35" s="11"/>
    </row>
    <row r="36" spans="1:13" x14ac:dyDescent="0.25">
      <c r="A36" s="15" t="s">
        <v>42</v>
      </c>
      <c r="B36" s="15"/>
      <c r="C36" s="19">
        <f t="shared" ref="C36:L36" si="17">((C11+C12+C13)*200)</f>
        <v>4200</v>
      </c>
      <c r="D36" s="19">
        <f t="shared" si="17"/>
        <v>4218.5</v>
      </c>
      <c r="E36" s="19">
        <f t="shared" si="17"/>
        <v>4085.5000000000005</v>
      </c>
      <c r="F36" s="19">
        <f t="shared" si="17"/>
        <v>4108.4862499999999</v>
      </c>
      <c r="G36" s="19">
        <f t="shared" si="17"/>
        <v>4150.4117500000011</v>
      </c>
      <c r="H36" s="19">
        <f t="shared" si="17"/>
        <v>4207.6599156250013</v>
      </c>
      <c r="I36" s="19">
        <f t="shared" si="17"/>
        <v>4278.4195143750012</v>
      </c>
      <c r="J36" s="19">
        <f t="shared" si="17"/>
        <v>4169.1619535390646</v>
      </c>
      <c r="K36" s="19">
        <f t="shared" si="17"/>
        <v>4207.7932034984397</v>
      </c>
      <c r="L36" s="19">
        <f t="shared" si="17"/>
        <v>4078.7250165732262</v>
      </c>
    </row>
    <row r="37" spans="1:13" x14ac:dyDescent="0.25">
      <c r="A37" s="15" t="s">
        <v>43</v>
      </c>
      <c r="B37" s="22">
        <v>0.02</v>
      </c>
      <c r="C37" s="19">
        <f>D8*B37</f>
        <v>528</v>
      </c>
      <c r="D37" s="14">
        <f t="shared" ref="D37:L37" si="18">C37*1.05</f>
        <v>554.4</v>
      </c>
      <c r="E37" s="14">
        <f t="shared" si="18"/>
        <v>582.12</v>
      </c>
      <c r="F37" s="14">
        <f t="shared" si="18"/>
        <v>611.226</v>
      </c>
      <c r="G37" s="14">
        <f t="shared" si="18"/>
        <v>641.78730000000007</v>
      </c>
      <c r="H37" s="14">
        <f t="shared" si="18"/>
        <v>673.87666500000012</v>
      </c>
      <c r="I37" s="14">
        <f t="shared" si="18"/>
        <v>707.57049825000013</v>
      </c>
      <c r="J37" s="14">
        <f t="shared" si="18"/>
        <v>742.94902316250011</v>
      </c>
      <c r="K37" s="14">
        <f t="shared" si="18"/>
        <v>780.09647432062513</v>
      </c>
      <c r="L37" s="14">
        <f t="shared" si="18"/>
        <v>819.10129803665643</v>
      </c>
    </row>
    <row r="38" spans="1:13" x14ac:dyDescent="0.25">
      <c r="A38" s="12" t="s">
        <v>44</v>
      </c>
      <c r="B38" s="23">
        <v>0.02</v>
      </c>
      <c r="C38" s="19">
        <f>C8*B38</f>
        <v>800</v>
      </c>
      <c r="D38" s="14">
        <f t="shared" ref="D38:L38" si="19">C38*1.03</f>
        <v>824</v>
      </c>
      <c r="E38" s="14">
        <f t="shared" si="19"/>
        <v>848.72</v>
      </c>
      <c r="F38" s="14">
        <f t="shared" si="19"/>
        <v>874.1816</v>
      </c>
      <c r="G38" s="14">
        <f t="shared" si="19"/>
        <v>900.40704800000003</v>
      </c>
      <c r="H38" s="14">
        <f t="shared" si="19"/>
        <v>927.41925944000002</v>
      </c>
      <c r="I38" s="14">
        <f t="shared" si="19"/>
        <v>955.24183722320004</v>
      </c>
      <c r="J38" s="14">
        <f t="shared" si="19"/>
        <v>983.89909233989601</v>
      </c>
      <c r="K38" s="14">
        <f t="shared" si="19"/>
        <v>1013.416065110093</v>
      </c>
      <c r="L38" s="14">
        <f t="shared" si="19"/>
        <v>1043.8185470633957</v>
      </c>
    </row>
    <row r="39" spans="1:13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8046</v>
      </c>
      <c r="D39" s="19">
        <f>((D11*15*180)+(D12*15*180)+(D17*20*180)+(D16*20*180)+(D13*15*180)+(D14*10*120))/2000*B39</f>
        <v>8060.8049999999994</v>
      </c>
      <c r="E39" s="19">
        <f>((E11*15*180)+(E12*15*180)+(E17*20*180)+(E16*20*180)+(E13*15*180)+(E14*10*120))/2000*B39</f>
        <v>7937.3285999999989</v>
      </c>
      <c r="F39" s="19">
        <f>((F11*15*180)+(F12*15*180)+(F17*20*180)+(F16*20*180)+(F13*15*180)+(F14*10*120))/2000*B39</f>
        <v>7939.055740499999</v>
      </c>
      <c r="G39" s="19">
        <f>((G11*15*180)+(G12*15*180)+(G17*20*180)+(G16*20*180)+(G13*15*180)+(G14*10*120))/2000*B39</f>
        <v>7974.5125829400004</v>
      </c>
      <c r="H39" s="19">
        <f>((H11*15*180)+(H12*15*180)+(H17*20*180)+(H16*20*180)+(H13*15*180)+(H14*10*120))/2000*B39</f>
        <v>8037.7823701624511</v>
      </c>
      <c r="I39" s="19">
        <f>((I11*15*180)+(I12*15*180)+(I17*20*180)+(I16*20*180)+(I13*15*180)+(I14*10*120))/2000*B39</f>
        <v>8131.254891442326</v>
      </c>
      <c r="J39" s="19">
        <f>((J11*15*180)+(J12*15*180)+(J17*20*180)+(J16*20*180)+(J13*15*180)+(J14*10*120))/2000*B39</f>
        <v>8046.5553945051852</v>
      </c>
      <c r="K39" s="19">
        <f>((K11*15*180)+(K12*15*180)+(K17*20*180)+(K16*20*180)+(K13*15*180)+(K14*10*120))/2000*B39</f>
        <v>8087.1723040696652</v>
      </c>
      <c r="L39" s="19">
        <f>((L11*15*180)+(L12*15*180)+(L17*20*180)+(L16*20*180)+(L13*15*180)+(L14*10*120))/2000*B39</f>
        <v>7962.3084122024884</v>
      </c>
    </row>
    <row r="40" spans="1:13" x14ac:dyDescent="0.25">
      <c r="A40" s="15" t="s">
        <v>46</v>
      </c>
      <c r="B40" s="22">
        <v>120</v>
      </c>
      <c r="C40" s="24">
        <f>((C11*3*180)+(C12*3*180)+(C16*5*180)+(C17*5*180)+(C13*4*180)+(C14*3*120))*(B40/2000)</f>
        <v>1944</v>
      </c>
      <c r="D40" s="24">
        <f>((D11*3*180)+(D12*3*180)+(D16*5*180)+(D17*5*180)+(D13*4*180)+(D14*3*120))*(B40/2000)</f>
        <v>1938.9509999999998</v>
      </c>
      <c r="E40" s="24">
        <f>((E11*3*180)+(E12*3*180)+(E16*5*180)+(E17*5*180)+(E13*4*180)+(E14*3*120))*(B40/2000)</f>
        <v>1914.4539</v>
      </c>
      <c r="F40" s="24">
        <f>((F11*3*180)+(F12*3*180)+(F16*5*180)+(F17*5*180)+(F13*4*180)+(F14*3*120))*(B40/2000)</f>
        <v>1912.2808994999998</v>
      </c>
      <c r="G40" s="24">
        <f>((G11*3*180)+(G12*3*180)+(G16*5*180)+(G17*5*180)+(G13*4*180)+(G14*3*120))*(B40/2000)</f>
        <v>1921.0385231100001</v>
      </c>
      <c r="H40" s="24">
        <f>((H11*3*180)+(H12*3*180)+(H16*5*180)+(H17*5*180)+(H13*4*180)+(H14*3*120))*(B40/2000)</f>
        <v>1935.8662984015505</v>
      </c>
      <c r="I40" s="24">
        <f>((I11*3*180)+(I12*3*180)+(I16*5*180)+(I17*5*180)+(I13*4*180)+(I14*3*120))*(B40/2000)</f>
        <v>1957.839913551519</v>
      </c>
      <c r="J40" s="24">
        <f>((J11*3*180)+(J12*3*180)+(J16*5*180)+(J17*5*180)+(J13*4*180)+(J14*3*120))*(B40/2000)</f>
        <v>1940.2350203965734</v>
      </c>
      <c r="K40" s="24">
        <f>((K11*3*180)+(K12*3*180)+(K16*5*180)+(K17*5*180)+(K13*4*180)+(K14*3*120))*(B40/2000)</f>
        <v>1947.2094617330122</v>
      </c>
      <c r="L40" s="24">
        <f>((L11*3*180)+(L12*3*180)+(L16*5*180)+(L17*5*180)+(L13*4*180)+(L14*3*120))*(B40/2000)</f>
        <v>1920.9226711660419</v>
      </c>
      <c r="M40" s="1" t="s">
        <v>47</v>
      </c>
    </row>
    <row r="41" spans="1:13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1367</v>
      </c>
      <c r="D41" s="19">
        <f>((D11*0.5*365)+(D16*0.5*365)+(D17*0.5*365)+ (C12*0.5*365)+(D13*0.5*365)+(D14*0.5*120))*(B41/2000)</f>
        <v>1516.2625000000003</v>
      </c>
      <c r="E41" s="19">
        <f>((E11*0.5*365)+(E16*0.5*365)+(E17*0.5*365)+ (D12*0.5*365)+(E13*0.5*365)+(E14*0.5*120))*(B41/2000)</f>
        <v>1559.0285249999997</v>
      </c>
      <c r="F41" s="19">
        <f>((F11*0.5*365)+(F16*0.5*365)+(F17*0.5*365)+ (E12*0.5*365)+(F13*0.5*365)+(F14*0.5*120))*(B41/2000)</f>
        <v>1518.3615857500001</v>
      </c>
      <c r="G41" s="19">
        <f>((G11*0.5*365)+(G16*0.5*365)+(G17*0.5*365)+ (F12*0.5*365)+(G13*0.5*365)+(G14*0.5*120))*(B41/2000)</f>
        <v>1543.1234182225003</v>
      </c>
      <c r="H41" s="19">
        <f>((H11*0.5*365)+(H16*0.5*365)+(H17*0.5*365)+ (G12*0.5*365)+(H13*0.5*365)+(H14*0.5*120))*(B41/2000)</f>
        <v>1544.9146501361754</v>
      </c>
      <c r="I41" s="19">
        <f>((I11*0.5*365)+(I16*0.5*365)+(I17*0.5*365)+ (H12*0.5*365)+(I13*0.5*365)+(I14*0.5*120))*(B41/2000)</f>
        <v>1564.5638738239204</v>
      </c>
      <c r="J41" s="19">
        <f>((J11*0.5*365)+(J16*0.5*365)+(J17*0.5*365)+ (I12*0.5*365)+(J13*0.5*365)+(J14*0.5*120))*(B41/2000)</f>
        <v>1545.6864391946381</v>
      </c>
      <c r="K41" s="19">
        <f>((K11*0.5*365)+(K16*0.5*365)+(K17*0.5*365)+ (J12*0.5*365)+(K13*0.5*365)+(K14*0.5*120))*(B41/2000)</f>
        <v>1553.075964445846</v>
      </c>
      <c r="L41" s="19">
        <f>((L11*0.5*365)+(L16*0.5*365)+(L17*0.5*365)+ (K12*0.5*365)+(L13*0.5*365)+(L14*0.5*120))*(B41/2000)</f>
        <v>1539.339254760939</v>
      </c>
      <c r="M41" s="1" t="s">
        <v>49</v>
      </c>
    </row>
    <row r="42" spans="1:13" x14ac:dyDescent="0.25">
      <c r="A42" s="15" t="s">
        <v>50</v>
      </c>
      <c r="B42" s="22">
        <v>15</v>
      </c>
      <c r="C42" s="19">
        <f>(C11+C16+C12+C17+C13+C14)*B42</f>
        <v>742.5</v>
      </c>
      <c r="D42" s="19">
        <f>(D11+D16+D12+D17+D13+D14)*B42</f>
        <v>748.87500000000011</v>
      </c>
      <c r="E42" s="19">
        <f>(E11+E16+E12+E17+E13+E14)*B42</f>
        <v>733.26900000000001</v>
      </c>
      <c r="F42" s="19">
        <f>(F11+F16+F12+F17+F13+F14)*B42</f>
        <v>735.77243250000004</v>
      </c>
      <c r="G42" s="19">
        <f>(G11+G16+G12+G17+G13+G14)*B42</f>
        <v>740.6004726000001</v>
      </c>
      <c r="H42" s="19">
        <f>(H11+H16+H12+H17+H13+H14)*B42</f>
        <v>747.46054217925007</v>
      </c>
      <c r="I42" s="19">
        <f>(I11+I16+I12+I17+I13+I14)*B42</f>
        <v>757.33851860754021</v>
      </c>
      <c r="J42" s="19">
        <f>(J11+J16+J12+J17+J13+J14)*B42</f>
        <v>744.03574228546756</v>
      </c>
      <c r="K42" s="19">
        <f>(K11+K16+K12+K17+K13+K14)*B42</f>
        <v>750.91065190231313</v>
      </c>
      <c r="L42" s="19">
        <f>(L11+L16+L12+L17+L13+L14)*B42</f>
        <v>734.14643763202344</v>
      </c>
    </row>
    <row r="43" spans="1:13" x14ac:dyDescent="0.25">
      <c r="A43" s="15" t="s">
        <v>51</v>
      </c>
      <c r="B43" s="22">
        <v>10</v>
      </c>
      <c r="C43" s="19">
        <f>(C11+C16+C12+C17+C13+C14)*B43</f>
        <v>495</v>
      </c>
      <c r="D43" s="19">
        <f>(D11+D16+D12+D17+D13+D14)*B43</f>
        <v>499.25000000000006</v>
      </c>
      <c r="E43" s="19">
        <f>(E11+E16+E12+E17+E13+E14)*B43</f>
        <v>488.846</v>
      </c>
      <c r="F43" s="19">
        <f>(F11+F16+F12+F17+F13+F14)*B43</f>
        <v>490.51495499999999</v>
      </c>
      <c r="G43" s="19">
        <f>(G11+G16+G12+G17+G13+G14)*B43</f>
        <v>493.73364840000011</v>
      </c>
      <c r="H43" s="19">
        <f>(H11+H16+H12+H17+H13+H14)*B43</f>
        <v>498.30702811950005</v>
      </c>
      <c r="I43" s="19">
        <f>(I11+I16+I12+I17+I13+I14)*B43</f>
        <v>504.89234573836018</v>
      </c>
      <c r="J43" s="19">
        <f>(J11+J16+J12+J17+J13+J14)*B43</f>
        <v>496.02382819031169</v>
      </c>
      <c r="K43" s="19">
        <f>(K11+K16+K12+K17+K13+K14)*B43</f>
        <v>500.60710126820874</v>
      </c>
      <c r="L43" s="19">
        <f>(L11+L16+L12+L17+L13+L14)*B43</f>
        <v>489.43095842134892</v>
      </c>
    </row>
    <row r="44" spans="1:13" x14ac:dyDescent="0.25">
      <c r="A44" s="15" t="s">
        <v>52</v>
      </c>
      <c r="B44" s="22">
        <v>40</v>
      </c>
      <c r="C44" s="19">
        <f>(C11+C16+C12+C17+C13+C14)*B44</f>
        <v>1980</v>
      </c>
      <c r="D44" s="19">
        <f>(D11+D16+D12+D17+D13+D14)*B44</f>
        <v>1997.0000000000002</v>
      </c>
      <c r="E44" s="19">
        <f>(E11+E16+E12+E17+E13+E14)*B44</f>
        <v>1955.384</v>
      </c>
      <c r="F44" s="19">
        <f>(F11+F16+F12+F17+F13+F14)*B44</f>
        <v>1962.0598199999999</v>
      </c>
      <c r="G44" s="19">
        <f>(G11+G16+G12+G17+G13+G14)*B44</f>
        <v>1974.9345936000004</v>
      </c>
      <c r="H44" s="19">
        <f>(H11+H16+H12+H17+H13+H14)*B44</f>
        <v>1993.2281124780002</v>
      </c>
      <c r="I44" s="19">
        <f>(I11+I16+I12+I17+I13+I14)*B44</f>
        <v>2019.5693829534407</v>
      </c>
      <c r="J44" s="19">
        <f>(J11+J16+J12+J17+J13+J14)*B44</f>
        <v>1984.0953127612468</v>
      </c>
      <c r="K44" s="19">
        <f>(K11+K16+K12+K17+K13+K14)*B44</f>
        <v>2002.4284050728349</v>
      </c>
      <c r="L44" s="19">
        <f>(L11+L16+L12+L17+L13+L14)*B44</f>
        <v>1957.7238336853957</v>
      </c>
    </row>
    <row r="45" spans="1:13" x14ac:dyDescent="0.25">
      <c r="A45" s="15" t="s">
        <v>53</v>
      </c>
      <c r="B45" s="22">
        <v>30</v>
      </c>
      <c r="C45" s="19">
        <f>(C11+C16+C12+C17+C13+C14)*B45</f>
        <v>1485</v>
      </c>
      <c r="D45" s="19">
        <f>(D11+D16+D12+D17+D13+D14)*B45</f>
        <v>1497.7500000000002</v>
      </c>
      <c r="E45" s="19">
        <f>(E11+E16+E12+E17+E13+E14)*B45</f>
        <v>1466.538</v>
      </c>
      <c r="F45" s="19">
        <f>(F11+F16+F12+F17+F13+F14)*B45</f>
        <v>1471.5448650000001</v>
      </c>
      <c r="G45" s="19">
        <f>(G11+G16+G12+G17+G13+G14)*B45</f>
        <v>1481.2009452000002</v>
      </c>
      <c r="H45" s="19">
        <f>(H11+H16+H12+H17+H13+H14)*B45</f>
        <v>1494.9210843585001</v>
      </c>
      <c r="I45" s="19">
        <f>(I11+I16+I12+I17+I13+I14)*B45</f>
        <v>1514.6770372150804</v>
      </c>
      <c r="J45" s="19">
        <f>(J11+J16+J12+J17+J13+J14)*B45</f>
        <v>1488.0714845709351</v>
      </c>
      <c r="K45" s="19">
        <f>(K11+K16+K12+K17+K13+K14)*B45</f>
        <v>1501.8213038046263</v>
      </c>
      <c r="L45" s="19">
        <f>(L11+L16+L12+L17+L13+L14)*B45</f>
        <v>1468.2928752640469</v>
      </c>
    </row>
    <row r="46" spans="1:13" x14ac:dyDescent="0.25">
      <c r="A46" s="11" t="s">
        <v>54</v>
      </c>
      <c r="B46" s="11"/>
      <c r="C46" s="19">
        <f>SUM(C36:C45)</f>
        <v>21587.5</v>
      </c>
      <c r="D46" s="19">
        <f t="shared" ref="D46:L46" si="20">SUM(D36:D45)</f>
        <v>21855.793499999996</v>
      </c>
      <c r="E46" s="19">
        <f t="shared" si="20"/>
        <v>21571.188025000003</v>
      </c>
      <c r="F46" s="19">
        <f t="shared" si="20"/>
        <v>21623.484148249998</v>
      </c>
      <c r="G46" s="19">
        <f t="shared" si="20"/>
        <v>21821.750282072506</v>
      </c>
      <c r="H46" s="19">
        <f t="shared" si="20"/>
        <v>22061.43592590043</v>
      </c>
      <c r="I46" s="19">
        <f t="shared" si="20"/>
        <v>22391.36781318039</v>
      </c>
      <c r="J46" s="19">
        <f t="shared" si="20"/>
        <v>22140.713290945816</v>
      </c>
      <c r="K46" s="19">
        <f t="shared" si="20"/>
        <v>22344.530935225659</v>
      </c>
      <c r="L46" s="19">
        <f t="shared" si="20"/>
        <v>22013.80930480556</v>
      </c>
    </row>
    <row r="47" spans="1:13" x14ac:dyDescent="0.25">
      <c r="A47" s="15" t="s">
        <v>55</v>
      </c>
      <c r="B47" s="15"/>
      <c r="C47" s="19">
        <f t="shared" ref="C47:L47" si="21">C46/(C11+C16+C13+C14)</f>
        <v>546.51898734177212</v>
      </c>
      <c r="D47" s="19">
        <f t="shared" si="21"/>
        <v>562.82221077705515</v>
      </c>
      <c r="E47" s="19">
        <f t="shared" si="21"/>
        <v>560.91561831235333</v>
      </c>
      <c r="F47" s="19">
        <f t="shared" si="21"/>
        <v>560.17118913127979</v>
      </c>
      <c r="G47" s="19">
        <f t="shared" si="21"/>
        <v>558.8327139062219</v>
      </c>
      <c r="H47" s="19">
        <f t="shared" si="21"/>
        <v>560.8625589862944</v>
      </c>
      <c r="I47" s="19">
        <f t="shared" si="21"/>
        <v>561.90262791134239</v>
      </c>
      <c r="J47" s="19">
        <f t="shared" si="21"/>
        <v>570.71235939906512</v>
      </c>
      <c r="K47" s="19">
        <f t="shared" si="21"/>
        <v>566.92090854674757</v>
      </c>
      <c r="L47" s="19">
        <f t="shared" si="21"/>
        <v>573.34674998261278</v>
      </c>
    </row>
    <row r="48" spans="1:13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3" x14ac:dyDescent="0.25">
      <c r="A49" s="11" t="s">
        <v>56</v>
      </c>
      <c r="B49" s="11"/>
      <c r="C49" s="31">
        <f>C32-C46</f>
        <v>9622.5</v>
      </c>
      <c r="D49" s="31">
        <f t="shared" ref="D49:L49" si="22">D32-D46</f>
        <v>11616.481500000005</v>
      </c>
      <c r="E49" s="31">
        <f t="shared" si="22"/>
        <v>12198.368974999998</v>
      </c>
      <c r="F49" s="31">
        <f t="shared" si="22"/>
        <v>13673.629399250007</v>
      </c>
      <c r="G49" s="31">
        <f t="shared" si="22"/>
        <v>15009.263713227498</v>
      </c>
      <c r="H49" s="31">
        <f t="shared" si="22"/>
        <v>16421.681623712324</v>
      </c>
      <c r="I49" s="31">
        <f t="shared" si="22"/>
        <v>19173.099389986986</v>
      </c>
      <c r="J49" s="31">
        <f t="shared" si="22"/>
        <v>19992.972084906258</v>
      </c>
      <c r="K49" s="31">
        <f t="shared" si="22"/>
        <v>23229.404712645119</v>
      </c>
      <c r="L49" s="31">
        <f t="shared" si="22"/>
        <v>25640.486609190084</v>
      </c>
    </row>
    <row r="50" spans="1:13" x14ac:dyDescent="0.25">
      <c r="A50" s="15" t="s">
        <v>57</v>
      </c>
      <c r="B50" s="15"/>
      <c r="C50" s="19">
        <f t="shared" ref="C50:L50" si="23">C49/(C16+C11)</f>
        <v>418.36956521739131</v>
      </c>
      <c r="D50" s="19">
        <f t="shared" si="23"/>
        <v>510.83911609498699</v>
      </c>
      <c r="E50" s="19">
        <f t="shared" si="23"/>
        <v>540.32822573679391</v>
      </c>
      <c r="F50" s="19">
        <f t="shared" si="23"/>
        <v>601.16726506941086</v>
      </c>
      <c r="G50" s="19">
        <f t="shared" si="23"/>
        <v>654.29169650586766</v>
      </c>
      <c r="H50" s="19">
        <f t="shared" si="23"/>
        <v>713.68098428400026</v>
      </c>
      <c r="I50" s="19">
        <f t="shared" si="23"/>
        <v>824.62707918851277</v>
      </c>
      <c r="J50" s="19">
        <f t="shared" si="23"/>
        <v>883.33066109809693</v>
      </c>
      <c r="K50" s="19">
        <f t="shared" si="23"/>
        <v>1002.1248108376017</v>
      </c>
      <c r="L50" s="19">
        <f t="shared" si="23"/>
        <v>1136.1739365796946</v>
      </c>
    </row>
    <row r="51" spans="1:13" x14ac:dyDescent="0.25">
      <c r="A51" s="16" t="s">
        <v>58</v>
      </c>
      <c r="B51" s="16"/>
      <c r="C51" s="17">
        <f>(C49/(((C11+C12+C13)*C26)+((C16+C17)*C29)+(((C14*0.5)-C21)*C22)+D8))*100</f>
        <v>7.300142247510669</v>
      </c>
      <c r="D51" s="17">
        <f>(D49/(((D11+D12+D13)*D26)+((D16+D17)*D29)+(((D14*0.5)-D21)*D22)+E8))*100</f>
        <v>10.400202516210198</v>
      </c>
      <c r="E51" s="17">
        <f t="shared" ref="E51:L51" si="24">(E49/(((E11+E12+E13)*E26)+((E16+E17)*E29)+(((E14*0.5)-E21)*E22)+F8))*100</f>
        <v>10.471478698064947</v>
      </c>
      <c r="F51" s="17">
        <f t="shared" si="24"/>
        <v>11.225589379766115</v>
      </c>
      <c r="G51" s="17">
        <f t="shared" si="24"/>
        <v>11.726961599337908</v>
      </c>
      <c r="H51" s="17">
        <f t="shared" si="24"/>
        <v>12.162898009564556</v>
      </c>
      <c r="I51" s="17">
        <f t="shared" si="24"/>
        <v>13.411773454655659</v>
      </c>
      <c r="J51" s="17">
        <f t="shared" si="24"/>
        <v>13.307685678576284</v>
      </c>
      <c r="K51" s="17">
        <f t="shared" si="24"/>
        <v>14.719724449696029</v>
      </c>
      <c r="L51" s="17">
        <f t="shared" si="24"/>
        <v>15.543063740747066</v>
      </c>
      <c r="M51" s="27">
        <f>SUM(C51:L51)/10</f>
        <v>12.026951977412944</v>
      </c>
    </row>
    <row r="52" spans="1:13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3" x14ac:dyDescent="0.25">
      <c r="A53" s="5" t="s">
        <v>59</v>
      </c>
      <c r="C53" s="14"/>
      <c r="E53" s="14"/>
    </row>
    <row r="54" spans="1:13" x14ac:dyDescent="0.25">
      <c r="A54" s="1" t="s">
        <v>60</v>
      </c>
      <c r="B54" s="34">
        <f>L19</f>
        <v>124449.80022923836</v>
      </c>
      <c r="C54" s="29"/>
    </row>
    <row r="55" spans="1:13" x14ac:dyDescent="0.25">
      <c r="A55" s="1" t="s">
        <v>61</v>
      </c>
      <c r="B55" s="34">
        <f>(C8+D8)*0.5</f>
        <v>33200</v>
      </c>
      <c r="C55" s="29">
        <v>0.5</v>
      </c>
    </row>
    <row r="56" spans="1:13" x14ac:dyDescent="0.25">
      <c r="A56" s="5" t="s">
        <v>62</v>
      </c>
      <c r="B56" s="33">
        <f>SUM(B54:B55)</f>
        <v>157649.80022923835</v>
      </c>
      <c r="D56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L21" sqref="L21"/>
    </sheetView>
  </sheetViews>
  <sheetFormatPr defaultColWidth="11.42578125" defaultRowHeight="15.75" x14ac:dyDescent="0.25"/>
  <cols>
    <col min="1" max="1" width="26.42578125" style="1" customWidth="1"/>
    <col min="2" max="2" width="14.5703125" style="1" customWidth="1"/>
    <col min="3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2" width="13.140625" style="1" customWidth="1"/>
    <col min="13" max="13" width="12.7109375" style="1" customWidth="1"/>
    <col min="14" max="14" width="13" style="1" customWidth="1"/>
    <col min="15" max="23" width="10.7109375" style="1" customWidth="1"/>
    <col min="24" max="16384" width="11.42578125" style="1"/>
  </cols>
  <sheetData>
    <row r="1" spans="1:13" ht="23.25" x14ac:dyDescent="0.35">
      <c r="E1" s="2" t="s">
        <v>63</v>
      </c>
    </row>
    <row r="2" spans="1:13" ht="23.25" x14ac:dyDescent="0.35">
      <c r="E2" s="2"/>
      <c r="I2" s="3" t="s">
        <v>64</v>
      </c>
    </row>
    <row r="3" spans="1:13" ht="18.75" x14ac:dyDescent="0.3">
      <c r="A3" s="4" t="s">
        <v>3</v>
      </c>
      <c r="B3" s="4"/>
      <c r="I3" s="1" t="s">
        <v>2</v>
      </c>
    </row>
    <row r="4" spans="1:13" x14ac:dyDescent="0.25">
      <c r="A4" s="5"/>
      <c r="B4" s="5"/>
      <c r="I4" s="1" t="s">
        <v>4</v>
      </c>
      <c r="L4" s="6"/>
      <c r="M4" s="6"/>
    </row>
    <row r="5" spans="1:13" x14ac:dyDescent="0.25">
      <c r="A5" s="5" t="s">
        <v>6</v>
      </c>
      <c r="B5" s="5"/>
      <c r="I5" s="1" t="s">
        <v>65</v>
      </c>
    </row>
    <row r="6" spans="1:13" x14ac:dyDescent="0.25">
      <c r="I6" s="1" t="s">
        <v>7</v>
      </c>
      <c r="J6" s="6"/>
    </row>
    <row r="7" spans="1:13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I7" s="1" t="s">
        <v>8</v>
      </c>
      <c r="J7" s="7"/>
      <c r="L7" s="7"/>
    </row>
    <row r="8" spans="1:13" s="5" customFormat="1" x14ac:dyDescent="0.25">
      <c r="A8" s="32">
        <f>SUM(C8:G8)</f>
        <v>111400</v>
      </c>
      <c r="B8" s="32"/>
      <c r="C8" s="35">
        <v>40000</v>
      </c>
      <c r="D8" s="35">
        <v>26400</v>
      </c>
      <c r="E8" s="33">
        <v>45000</v>
      </c>
      <c r="I8" s="1" t="s">
        <v>13</v>
      </c>
      <c r="J8" s="7"/>
      <c r="K8" s="9"/>
      <c r="L8" s="10"/>
    </row>
    <row r="9" spans="1:13" s="5" customFormat="1" x14ac:dyDescent="0.25">
      <c r="A9" s="7"/>
      <c r="B9" s="7"/>
      <c r="D9" s="8"/>
      <c r="F9" s="8"/>
      <c r="I9" s="1" t="s">
        <v>14</v>
      </c>
      <c r="J9" s="7"/>
      <c r="K9" s="9"/>
      <c r="L9" s="10"/>
    </row>
    <row r="10" spans="1:13" x14ac:dyDescent="0.25">
      <c r="A10" s="11" t="s">
        <v>16</v>
      </c>
      <c r="B10" s="11"/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I10" s="5" t="s">
        <v>15</v>
      </c>
    </row>
    <row r="11" spans="1:13" x14ac:dyDescent="0.25">
      <c r="A11" s="12" t="s">
        <v>18</v>
      </c>
      <c r="B11" s="12"/>
      <c r="C11" s="13">
        <v>10</v>
      </c>
      <c r="D11" s="14">
        <f>(C11+C12)-C25</f>
        <v>10</v>
      </c>
      <c r="E11" s="14">
        <f>(D11+D12)-D25</f>
        <v>9</v>
      </c>
      <c r="F11" s="14">
        <f>(E11+E12)-E25</f>
        <v>9.879999999999999</v>
      </c>
      <c r="G11" s="14">
        <f>(F11+F12)-F25</f>
        <v>10.759999999999998</v>
      </c>
    </row>
    <row r="12" spans="1:13" x14ac:dyDescent="0.25">
      <c r="A12" s="12" t="s">
        <v>19</v>
      </c>
      <c r="B12" s="12"/>
      <c r="C12" s="13">
        <v>0</v>
      </c>
      <c r="D12" s="14">
        <f t="shared" ref="D12:G12" si="0">C13</f>
        <v>0</v>
      </c>
      <c r="E12" s="14">
        <f t="shared" si="0"/>
        <v>3.88</v>
      </c>
      <c r="F12" s="14">
        <f t="shared" si="0"/>
        <v>3.88</v>
      </c>
      <c r="G12" s="14">
        <f t="shared" si="0"/>
        <v>4.4329000000000001</v>
      </c>
    </row>
    <row r="13" spans="1:13" x14ac:dyDescent="0.25">
      <c r="A13" s="12" t="s">
        <v>20</v>
      </c>
      <c r="B13" s="12"/>
      <c r="C13" s="13">
        <v>0</v>
      </c>
      <c r="D13" s="14">
        <f t="shared" ref="D13:G13" si="1">(C14*0.5)*0.97</f>
        <v>3.88</v>
      </c>
      <c r="E13" s="14">
        <f t="shared" si="1"/>
        <v>3.88</v>
      </c>
      <c r="F13" s="14">
        <f t="shared" si="1"/>
        <v>4.4329000000000001</v>
      </c>
      <c r="G13" s="14">
        <f t="shared" si="1"/>
        <v>4.7743399999999996</v>
      </c>
    </row>
    <row r="14" spans="1:13" x14ac:dyDescent="0.25">
      <c r="A14" s="15" t="s">
        <v>21</v>
      </c>
      <c r="B14" s="15"/>
      <c r="C14" s="14">
        <f t="shared" ref="C14:G14" si="2">((C11*C15)+(C12*0.5))</f>
        <v>8</v>
      </c>
      <c r="D14" s="14">
        <f t="shared" si="2"/>
        <v>8</v>
      </c>
      <c r="E14" s="14">
        <f t="shared" si="2"/>
        <v>9.14</v>
      </c>
      <c r="F14" s="14">
        <f t="shared" si="2"/>
        <v>9.8439999999999994</v>
      </c>
      <c r="G14" s="14">
        <f t="shared" si="2"/>
        <v>10.824449999999999</v>
      </c>
    </row>
    <row r="15" spans="1:13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</row>
    <row r="16" spans="1:13" x14ac:dyDescent="0.25">
      <c r="A16" s="15" t="s">
        <v>23</v>
      </c>
      <c r="B16" s="15"/>
      <c r="C16" s="18">
        <v>5</v>
      </c>
      <c r="D16" s="14">
        <f>((C16+C17)-(C23+C28))*0.98</f>
        <v>9.8000000000000007</v>
      </c>
      <c r="E16" s="14">
        <f>((D16+D17)-(D23+D28))*0.98</f>
        <v>11.446399999999999</v>
      </c>
      <c r="F16" s="14">
        <f>((E16+E17)-(E23+E28))*0.98</f>
        <v>12.079872</v>
      </c>
      <c r="G16" s="14">
        <f>((F16+F17)-(F23+F28))*0.98</f>
        <v>12.262516559999998</v>
      </c>
    </row>
    <row r="17" spans="1:17" x14ac:dyDescent="0.25">
      <c r="A17" s="12" t="s">
        <v>24</v>
      </c>
      <c r="B17" s="12"/>
      <c r="C17" s="13">
        <v>5</v>
      </c>
      <c r="D17" s="14">
        <f>(C14*0.5)*0.97</f>
        <v>3.88</v>
      </c>
      <c r="E17" s="14">
        <f>(D14*0.5)*0.97</f>
        <v>3.88</v>
      </c>
      <c r="F17" s="14">
        <f>(E14*0.5)*0.97</f>
        <v>4.4329000000000001</v>
      </c>
      <c r="G17" s="14">
        <f>(F14*0.5)*0.97</f>
        <v>4.7743399999999996</v>
      </c>
    </row>
    <row r="18" spans="1:17" x14ac:dyDescent="0.25">
      <c r="A18" s="15" t="s">
        <v>25</v>
      </c>
      <c r="B18" s="15"/>
      <c r="C18" s="14">
        <f t="shared" ref="C18:G18" si="3">SUM(C11:C17)</f>
        <v>28.8</v>
      </c>
      <c r="D18" s="14">
        <f t="shared" si="3"/>
        <v>36.360000000000007</v>
      </c>
      <c r="E18" s="14">
        <f t="shared" si="3"/>
        <v>42.026400000000002</v>
      </c>
      <c r="F18" s="14">
        <f t="shared" si="3"/>
        <v>45.349671999999998</v>
      </c>
      <c r="G18" s="14">
        <f t="shared" si="3"/>
        <v>48.628546559999997</v>
      </c>
    </row>
    <row r="19" spans="1:17" x14ac:dyDescent="0.25">
      <c r="A19" s="15" t="s">
        <v>26</v>
      </c>
      <c r="B19" s="15"/>
      <c r="C19" s="19">
        <f>SUM(C11*C26)+((C16*0.25)*C24)+(C16*0.75*C29)+(C13*C22)+(C14*C22)+(C12*0.85*C26)+(C17*1000)</f>
        <v>38950</v>
      </c>
      <c r="D19" s="19">
        <f>SUM(D11*D26)+((D16*0.25)*D24)+(D16*0.75*D29)+(D13*D22)+(D14*D22)+(D12*0.85*D26)+(D17*1000)</f>
        <v>59157.16</v>
      </c>
      <c r="E19" s="19">
        <f>SUM(E11*E26)+((E16*0.25)*E24)+(E16*0.75*E29)+(E13*E22)+(E14*E22)+(E12*0.85*E26)+(E17*1000)</f>
        <v>69514.354660000012</v>
      </c>
      <c r="F19" s="19">
        <f>SUM(F11*F26)+((F16*0.25)*F24)+(F16*0.75*F29)+(F13*F22)+(F14*F22)+(F12*0.85*F26)+(F17*1000)</f>
        <v>77443.840121111003</v>
      </c>
      <c r="G19" s="19">
        <f>SUM(G11*G26)+((G16*0.25)*G24)+(G16*0.75*G29)+(G13*G22)+(G14*G22)+(G12*0.85*G26)+(G17*1000)</f>
        <v>84450.507448130898</v>
      </c>
    </row>
    <row r="20" spans="1:17" x14ac:dyDescent="0.25">
      <c r="A20" s="11" t="s">
        <v>27</v>
      </c>
      <c r="B20" s="11"/>
    </row>
    <row r="21" spans="1:17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17" x14ac:dyDescent="0.25">
      <c r="A22" s="15" t="s">
        <v>29</v>
      </c>
      <c r="B22" s="15"/>
      <c r="C22" s="19">
        <v>650</v>
      </c>
      <c r="D22" s="19">
        <f>C22*1.03</f>
        <v>669.5</v>
      </c>
      <c r="E22" s="19">
        <f t="shared" ref="E22:G22" si="4">D22*1.03</f>
        <v>689.58500000000004</v>
      </c>
      <c r="F22" s="19">
        <f t="shared" si="4"/>
        <v>710.27255000000002</v>
      </c>
      <c r="G22" s="19">
        <f t="shared" si="4"/>
        <v>731.58072650000008</v>
      </c>
    </row>
    <row r="23" spans="1:17" x14ac:dyDescent="0.25">
      <c r="A23" s="12" t="s">
        <v>30</v>
      </c>
      <c r="B23" s="12"/>
      <c r="C23" s="13">
        <v>0</v>
      </c>
      <c r="D23" s="13">
        <v>0</v>
      </c>
      <c r="E23" s="13">
        <v>1</v>
      </c>
      <c r="F23" s="13">
        <v>1</v>
      </c>
      <c r="G23" s="13">
        <v>1</v>
      </c>
    </row>
    <row r="24" spans="1:17" x14ac:dyDescent="0.25">
      <c r="A24" s="12" t="s">
        <v>31</v>
      </c>
      <c r="B24" s="12"/>
      <c r="C24" s="19">
        <v>1500</v>
      </c>
      <c r="D24" s="19">
        <f>C24*1.02</f>
        <v>1530</v>
      </c>
      <c r="E24" s="19">
        <f t="shared" ref="E24:G24" si="5">D24*1.02</f>
        <v>1560.6000000000001</v>
      </c>
      <c r="F24" s="19">
        <f t="shared" si="5"/>
        <v>1591.8120000000001</v>
      </c>
      <c r="G24" s="19">
        <f t="shared" si="5"/>
        <v>1623.6482400000002</v>
      </c>
      <c r="Q24" s="14"/>
    </row>
    <row r="25" spans="1:17" x14ac:dyDescent="0.25">
      <c r="A25" s="15" t="s">
        <v>32</v>
      </c>
      <c r="B25" s="15"/>
      <c r="C25" s="18">
        <v>0</v>
      </c>
      <c r="D25" s="18">
        <v>1</v>
      </c>
      <c r="E25" s="18">
        <v>3</v>
      </c>
      <c r="F25" s="18">
        <v>3</v>
      </c>
      <c r="G25" s="18">
        <v>4</v>
      </c>
    </row>
    <row r="26" spans="1:17" x14ac:dyDescent="0.25">
      <c r="A26" s="15" t="s">
        <v>33</v>
      </c>
      <c r="B26" s="15"/>
      <c r="C26" s="19">
        <v>1000</v>
      </c>
      <c r="D26" s="19">
        <f>C26*1.05</f>
        <v>1050</v>
      </c>
      <c r="E26" s="19">
        <f t="shared" ref="E26:G26" si="6">D26*1.05</f>
        <v>1102.5</v>
      </c>
      <c r="F26" s="19">
        <f t="shared" si="6"/>
        <v>1157.625</v>
      </c>
      <c r="G26" s="19">
        <f t="shared" si="6"/>
        <v>1215.5062500000001</v>
      </c>
    </row>
    <row r="27" spans="1:17" x14ac:dyDescent="0.25">
      <c r="A27" s="12" t="s">
        <v>34</v>
      </c>
      <c r="B27" s="12"/>
      <c r="C27" s="14">
        <f>C18*0.02</f>
        <v>0.57600000000000007</v>
      </c>
      <c r="D27" s="14">
        <f t="shared" ref="D27:G27" si="7">D18*0.02</f>
        <v>0.72720000000000018</v>
      </c>
      <c r="E27" s="14">
        <f t="shared" si="7"/>
        <v>0.84052800000000005</v>
      </c>
      <c r="F27" s="14">
        <f t="shared" si="7"/>
        <v>0.90699343999999993</v>
      </c>
      <c r="G27" s="14">
        <f t="shared" si="7"/>
        <v>0.97257093119999993</v>
      </c>
    </row>
    <row r="28" spans="1:17" x14ac:dyDescent="0.25">
      <c r="A28" s="12" t="s">
        <v>35</v>
      </c>
      <c r="B28" s="12"/>
      <c r="C28" s="13">
        <v>0</v>
      </c>
      <c r="D28" s="13">
        <v>2</v>
      </c>
      <c r="E28" s="13">
        <v>2</v>
      </c>
      <c r="F28" s="13">
        <v>3</v>
      </c>
      <c r="G28" s="13">
        <v>4</v>
      </c>
      <c r="H28" s="14"/>
    </row>
    <row r="29" spans="1:17" x14ac:dyDescent="0.25">
      <c r="A29" s="12" t="s">
        <v>36</v>
      </c>
      <c r="B29" s="12"/>
      <c r="C29" s="19">
        <v>4500</v>
      </c>
      <c r="D29" s="19">
        <v>4500</v>
      </c>
      <c r="E29" s="19">
        <v>4500</v>
      </c>
      <c r="F29" s="19">
        <f t="shared" ref="F29:G29" si="8">E29*1.05</f>
        <v>4725</v>
      </c>
      <c r="G29" s="19">
        <f t="shared" si="8"/>
        <v>4961.25</v>
      </c>
    </row>
    <row r="30" spans="1:17" x14ac:dyDescent="0.25">
      <c r="A30" s="15" t="s">
        <v>37</v>
      </c>
      <c r="B30" s="15"/>
      <c r="C30" s="20">
        <f>((C16-C28)*12)+(C17*2)</f>
        <v>70</v>
      </c>
      <c r="D30" s="20">
        <f>((D16-D28)*12)+(D17*2)</f>
        <v>101.36000000000001</v>
      </c>
      <c r="E30" s="20">
        <f>((E16-E28)*12)+(E17*2)</f>
        <v>121.1168</v>
      </c>
      <c r="F30" s="20">
        <f>((F16-F28)*12)+(F17*2)</f>
        <v>117.824264</v>
      </c>
      <c r="G30" s="20">
        <f>((G16-G28)*12)+(G17*2)</f>
        <v>108.69887871999998</v>
      </c>
    </row>
    <row r="31" spans="1:17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</row>
    <row r="32" spans="1:17" x14ac:dyDescent="0.25">
      <c r="A32" s="11" t="s">
        <v>39</v>
      </c>
      <c r="B32" s="11"/>
      <c r="C32" s="19">
        <f>(C21*C22)+(C23*C24)+(C25*C26)+(C28*C29)+(C30*C31)</f>
        <v>2450</v>
      </c>
      <c r="D32" s="19">
        <f t="shared" ref="D32:G32" si="9">(D21*D22)+(D23*D24)+(D25*D26)+(D28*D29)+(D30*D31)</f>
        <v>13597.6</v>
      </c>
      <c r="E32" s="19">
        <f t="shared" si="9"/>
        <v>18107.188000000002</v>
      </c>
      <c r="F32" s="19">
        <f t="shared" si="9"/>
        <v>23363.536239999998</v>
      </c>
      <c r="G32" s="19">
        <f t="shared" si="9"/>
        <v>30135.133995199998</v>
      </c>
    </row>
    <row r="33" spans="1:8" x14ac:dyDescent="0.25">
      <c r="A33" s="15" t="s">
        <v>40</v>
      </c>
      <c r="B33" s="15"/>
      <c r="C33" s="19">
        <f t="shared" ref="C33:G33" si="10">C32/(C16+C11)</f>
        <v>163.33333333333334</v>
      </c>
      <c r="D33" s="19">
        <f t="shared" si="10"/>
        <v>686.74747474747471</v>
      </c>
      <c r="E33" s="19">
        <f t="shared" si="10"/>
        <v>885.59296502073732</v>
      </c>
      <c r="F33" s="19">
        <f t="shared" si="10"/>
        <v>1063.919509184753</v>
      </c>
      <c r="G33" s="19">
        <f t="shared" si="10"/>
        <v>1308.9417882125742</v>
      </c>
    </row>
    <row r="34" spans="1:8" x14ac:dyDescent="0.25">
      <c r="C34" s="14"/>
    </row>
    <row r="35" spans="1:8" x14ac:dyDescent="0.25">
      <c r="A35" s="11" t="s">
        <v>41</v>
      </c>
      <c r="B35" s="11"/>
    </row>
    <row r="36" spans="1:8" x14ac:dyDescent="0.25">
      <c r="A36" s="15" t="s">
        <v>42</v>
      </c>
      <c r="B36" s="15"/>
      <c r="C36" s="19">
        <f>(C11*200)</f>
        <v>2000</v>
      </c>
      <c r="D36" s="19">
        <f>(D11*200)</f>
        <v>2000</v>
      </c>
      <c r="E36" s="19">
        <f>(E11*200)</f>
        <v>1800</v>
      </c>
      <c r="F36" s="19">
        <f>(F11*200)</f>
        <v>1975.9999999999998</v>
      </c>
      <c r="G36" s="19">
        <f>(G11*200)</f>
        <v>2151.9999999999995</v>
      </c>
    </row>
    <row r="37" spans="1:8" x14ac:dyDescent="0.25">
      <c r="A37" s="15" t="s">
        <v>43</v>
      </c>
      <c r="B37" s="22">
        <v>0.02</v>
      </c>
      <c r="C37" s="19">
        <f>D8*B37</f>
        <v>528</v>
      </c>
      <c r="D37" s="14">
        <f t="shared" ref="D37:G37" si="11">C37*1.05</f>
        <v>554.4</v>
      </c>
      <c r="E37" s="14">
        <f t="shared" si="11"/>
        <v>582.12</v>
      </c>
      <c r="F37" s="14">
        <f t="shared" si="11"/>
        <v>611.226</v>
      </c>
      <c r="G37" s="14">
        <f t="shared" si="11"/>
        <v>641.78730000000007</v>
      </c>
    </row>
    <row r="38" spans="1:8" x14ac:dyDescent="0.25">
      <c r="A38" s="12" t="s">
        <v>44</v>
      </c>
      <c r="B38" s="23">
        <v>0.02</v>
      </c>
      <c r="C38" s="19">
        <f>C8*B38</f>
        <v>800</v>
      </c>
      <c r="D38" s="14">
        <f t="shared" ref="D38:G38" si="12">C38*1.03</f>
        <v>824</v>
      </c>
      <c r="E38" s="14">
        <f t="shared" si="12"/>
        <v>848.72</v>
      </c>
      <c r="F38" s="14">
        <f t="shared" si="12"/>
        <v>874.1816</v>
      </c>
      <c r="G38" s="14">
        <f t="shared" si="12"/>
        <v>900.40704800000003</v>
      </c>
    </row>
    <row r="39" spans="1:8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4356</v>
      </c>
      <c r="D39" s="19">
        <f>((D11*15*180)+(D12*15*180)+(D17*20*180)+(D16*20*180)+(D13*15*180)+(D14*10*120))/2000*B39</f>
        <v>5779.44</v>
      </c>
      <c r="E39" s="19">
        <f>((E11*15*180)+(E12*15*180)+(E17*20*180)+(E16*20*180)+(E13*15*180)+(E14*10*120))/2000*B39</f>
        <v>6683.7024000000001</v>
      </c>
      <c r="F39" s="19">
        <f>((F11*15*180)+(F12*15*180)+(F17*20*180)+(F16*20*180)+(F13*15*180)+(F14*10*120))/2000*B39</f>
        <v>7222.7765520000003</v>
      </c>
      <c r="G39" s="19">
        <f>((G11*15*180)+(G12*15*180)+(G17*20*180)+(G16*20*180)+(G13*15*180)+(G14*10*120))/2000*B39</f>
        <v>7694.0142969599983</v>
      </c>
    </row>
    <row r="40" spans="1:8" x14ac:dyDescent="0.25">
      <c r="A40" s="15" t="s">
        <v>71</v>
      </c>
      <c r="B40" s="22">
        <v>120</v>
      </c>
      <c r="C40" s="24">
        <f>((C11*3*180)+(C12*3*180)+(C16*5*180)+(C17*5*180)+(C13*4*180)+(C14*3*120))*(B40/2000)</f>
        <v>1036.8</v>
      </c>
      <c r="D40" s="24">
        <f>((D11*3*180)+(D12*3*180)+(D16*5*180)+(D17*5*180)+(D13*4*180)+(D14*3*120))*(B40/2000)</f>
        <v>1403.136</v>
      </c>
      <c r="E40" s="24">
        <f>((E11*3*180)+(E12*3*180)+(E16*5*180)+(E17*5*180)+(E13*4*180)+(E14*3*120))*(B40/2000)</f>
        <v>1609.9775999999999</v>
      </c>
      <c r="F40" s="24">
        <f>((F11*3*180)+(F12*3*180)+(F16*5*180)+(F17*5*180)+(F13*4*180)+(F14*3*120))*(B40/2000)</f>
        <v>1741.6453680000002</v>
      </c>
      <c r="G40" s="24">
        <f>((G11*3*180)+(G12*3*180)+(G16*5*180)+(G17*5*180)+(G13*4*180)+(G14*3*120))*(B40/2000)</f>
        <v>1852.2998222399997</v>
      </c>
      <c r="H40" s="1" t="s">
        <v>47</v>
      </c>
    </row>
    <row r="41" spans="1:8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826</v>
      </c>
      <c r="D41" s="19">
        <f>((D11*0.5*365)+(D16*0.5*365)+(D17*0.5*365)+ (C12*0.5*365)+(D13*0.5*365)+(D14*0.5*120))*(B41/2000)</f>
        <v>1101.9400000000003</v>
      </c>
      <c r="E41" s="19">
        <f>((E11*0.5*365)+(E16*0.5*365)+(E17*0.5*365)+ (D12*0.5*365)+(E13*0.5*365)+(E14*0.5*120))*(B41/2000)</f>
        <v>1139.2136000000003</v>
      </c>
      <c r="F41" s="19">
        <f>((F11*0.5*365)+(F16*0.5*365)+(F17*0.5*365)+ (E12*0.5*365)+(F13*0.5*365)+(F14*0.5*120))*(B41/2000)</f>
        <v>1384.8850280000001</v>
      </c>
      <c r="G41" s="19">
        <f>((G11*0.5*365)+(G16*0.5*365)+(G17*0.5*365)+ (F12*0.5*365)+(G13*0.5*365)+(G14*0.5*120))*(B41/2000)</f>
        <v>1460.3620744399998</v>
      </c>
      <c r="H41" s="1" t="s">
        <v>72</v>
      </c>
    </row>
    <row r="42" spans="1:8" x14ac:dyDescent="0.25">
      <c r="A42" s="15" t="s">
        <v>50</v>
      </c>
      <c r="B42" s="22">
        <v>15</v>
      </c>
      <c r="C42" s="19">
        <f>(C11+C16+C12+C17+C13+C14)*B42</f>
        <v>420</v>
      </c>
      <c r="D42" s="19">
        <f>(D11+D16+D12+D17+D13+D14)*B42</f>
        <v>533.40000000000009</v>
      </c>
      <c r="E42" s="19">
        <f>(E11+E16+E12+E17+E13+E14)*B42</f>
        <v>618.39599999999996</v>
      </c>
      <c r="F42" s="19">
        <f>(F11+F16+F12+F17+F13+F14)*B42</f>
        <v>668.24507999999992</v>
      </c>
      <c r="G42" s="19">
        <f>(G11+G16+G12+G17+G13+G14)*B42</f>
        <v>717.42819840000004</v>
      </c>
    </row>
    <row r="43" spans="1:8" x14ac:dyDescent="0.25">
      <c r="A43" s="15" t="s">
        <v>51</v>
      </c>
      <c r="B43" s="22">
        <v>10</v>
      </c>
      <c r="C43" s="19">
        <f>(C11+C16+C12+C17+C13+C14)*B43</f>
        <v>280</v>
      </c>
      <c r="D43" s="19">
        <f>(D11+D16+D12+D17+D13+D14)*B43</f>
        <v>355.6</v>
      </c>
      <c r="E43" s="19">
        <f>(E11+E16+E12+E17+E13+E14)*B43</f>
        <v>412.26400000000001</v>
      </c>
      <c r="F43" s="19">
        <f>(F11+F16+F12+F17+F13+F14)*B43</f>
        <v>445.49671999999993</v>
      </c>
      <c r="G43" s="19">
        <f>(G11+G16+G12+G17+G13+G14)*B43</f>
        <v>478.28546560000001</v>
      </c>
    </row>
    <row r="44" spans="1:8" x14ac:dyDescent="0.25">
      <c r="A44" s="15" t="s">
        <v>52</v>
      </c>
      <c r="B44" s="22">
        <v>40</v>
      </c>
      <c r="C44" s="19">
        <f>(C11+C16+C12+C17+C13+C14)*B44</f>
        <v>1120</v>
      </c>
      <c r="D44" s="19">
        <f>(D11+D16+D12+D17+D13+D14)*B44</f>
        <v>1422.4</v>
      </c>
      <c r="E44" s="19">
        <f>(E11+E16+E12+E17+E13+E14)*B44</f>
        <v>1649.056</v>
      </c>
      <c r="F44" s="19">
        <f>(F11+F16+F12+F17+F13+F14)*B44</f>
        <v>1781.9868799999997</v>
      </c>
      <c r="G44" s="19">
        <f>(G11+G16+G12+G17+G13+G14)*B44</f>
        <v>1913.1418624</v>
      </c>
    </row>
    <row r="45" spans="1:8" x14ac:dyDescent="0.25">
      <c r="A45" s="15" t="s">
        <v>53</v>
      </c>
      <c r="B45" s="22">
        <v>30</v>
      </c>
      <c r="C45" s="19">
        <f>(C11+C16+C12+C17+C13+C14)*B45</f>
        <v>840</v>
      </c>
      <c r="D45" s="19">
        <f>(D11+D16+D12+D17+D13+D14)*B45</f>
        <v>1066.8000000000002</v>
      </c>
      <c r="E45" s="19">
        <f>(E11+E16+E12+E17+E13+E14)*B45</f>
        <v>1236.7919999999999</v>
      </c>
      <c r="F45" s="19">
        <f>(F11+F16+F12+F17+F13+F14)*B45</f>
        <v>1336.4901599999998</v>
      </c>
      <c r="G45" s="19">
        <f>(G11+G16+G12+G17+G13+G14)*B45</f>
        <v>1434.8563968000001</v>
      </c>
    </row>
    <row r="46" spans="1:8" x14ac:dyDescent="0.25">
      <c r="A46" s="11" t="s">
        <v>54</v>
      </c>
      <c r="B46" s="11"/>
      <c r="C46" s="19">
        <f>SUM(C36:C45)</f>
        <v>12206.8</v>
      </c>
      <c r="D46" s="19">
        <f t="shared" ref="D46:G46" si="13">SUM(D36:D45)</f>
        <v>15041.116000000002</v>
      </c>
      <c r="E46" s="19">
        <f t="shared" si="13"/>
        <v>16580.241600000001</v>
      </c>
      <c r="F46" s="19">
        <f t="shared" si="13"/>
        <v>18042.933388000001</v>
      </c>
      <c r="G46" s="19">
        <f t="shared" si="13"/>
        <v>19244.582464840001</v>
      </c>
    </row>
    <row r="47" spans="1:8" x14ac:dyDescent="0.25">
      <c r="A47" s="15" t="s">
        <v>55</v>
      </c>
      <c r="B47" s="15"/>
      <c r="C47" s="19">
        <f>C46/(C11+C16+C13+C14)</f>
        <v>530.73043478260865</v>
      </c>
      <c r="D47" s="19">
        <f>D46/(D11+D16+D13+D14)</f>
        <v>474.78270202020207</v>
      </c>
      <c r="E47" s="19">
        <f>E46/(E11+E16+E13+E14)</f>
        <v>495.42949346209946</v>
      </c>
      <c r="F47" s="19">
        <f>F46/(F11+F16+F13+F14)</f>
        <v>497.91778881408101</v>
      </c>
      <c r="G47" s="19">
        <f>G46/(G11+G16+G13+G14)</f>
        <v>498.28926514805107</v>
      </c>
    </row>
    <row r="48" spans="1:8" x14ac:dyDescent="0.25">
      <c r="C48" s="14"/>
      <c r="D48" s="14"/>
      <c r="E48" s="14"/>
      <c r="F48" s="14"/>
      <c r="G48" s="14"/>
    </row>
    <row r="49" spans="1:13" x14ac:dyDescent="0.25">
      <c r="A49" s="11" t="s">
        <v>56</v>
      </c>
      <c r="B49" s="11"/>
      <c r="C49" s="19">
        <f>C32-C46</f>
        <v>-9756.7999999999993</v>
      </c>
      <c r="D49" s="19">
        <f t="shared" ref="D49:G49" si="14">D32-D46</f>
        <v>-1443.5160000000014</v>
      </c>
      <c r="E49" s="19">
        <f t="shared" si="14"/>
        <v>1526.9464000000007</v>
      </c>
      <c r="F49" s="19">
        <f t="shared" si="14"/>
        <v>5320.6028519999963</v>
      </c>
      <c r="G49" s="19">
        <f t="shared" si="14"/>
        <v>10890.551530359997</v>
      </c>
    </row>
    <row r="50" spans="1:13" x14ac:dyDescent="0.25">
      <c r="A50" s="15" t="s">
        <v>57</v>
      </c>
      <c r="B50" s="15"/>
      <c r="C50" s="19">
        <f>C49/(C16+C11)</f>
        <v>-650.45333333333326</v>
      </c>
      <c r="D50" s="19">
        <f>D49/(D16+D11)</f>
        <v>-72.904848484848557</v>
      </c>
      <c r="E50" s="19">
        <f>E49/(E16+E11)</f>
        <v>74.680452304562223</v>
      </c>
      <c r="F50" s="19">
        <f>F49/(F16+F11)</f>
        <v>242.28751661211854</v>
      </c>
      <c r="G50" s="19">
        <f>G49/(G16+G11)</f>
        <v>473.03914417772921</v>
      </c>
    </row>
    <row r="51" spans="1:13" x14ac:dyDescent="0.25">
      <c r="A51" s="16" t="s">
        <v>89</v>
      </c>
      <c r="B51" s="16"/>
      <c r="C51" s="17">
        <f>(C49/(((C11+C13)*C26)+(C16*C29)+(((C14*0.5)-C21)*C22)+D8))*100</f>
        <v>-15.86471544715447</v>
      </c>
      <c r="D51" s="17">
        <f>(D49/(((D11+D13)*D26)+(D16*D29)+(((D14*0.5)-D21)*D22)+E8))*100</f>
        <v>-1.3573002858432388</v>
      </c>
      <c r="E51" s="17">
        <f>(E49/(((E11+E13)*E26)+(E16*E29)+(((E14*0.5)-E21)*E22)+F8))*100</f>
        <v>2.2174520094247292</v>
      </c>
      <c r="F51" s="17">
        <f>(F49/(((F11+F13)*F26)+(F16*F29)+(((F14*0.5)-F21)*F22)+G8))*100</f>
        <v>6.8971251201918147</v>
      </c>
      <c r="G51" s="17">
        <f>(G49/(((G11+G13)*G26)+(G16*G29)+(((G14*0.5)-G21)*G22)+H8))*100</f>
        <v>13.01468051179276</v>
      </c>
      <c r="H51" s="27">
        <f>SUM(C51:G51)/5</f>
        <v>0.98144838168231918</v>
      </c>
    </row>
    <row r="52" spans="1:13" x14ac:dyDescent="0.25">
      <c r="C52" s="14"/>
      <c r="D52" s="14"/>
      <c r="E52" s="14"/>
      <c r="F52" s="14"/>
      <c r="G52" s="14"/>
      <c r="I52" s="14"/>
      <c r="J52" s="14"/>
      <c r="K52" s="14"/>
      <c r="L52" s="14"/>
    </row>
    <row r="53" spans="1:13" x14ac:dyDescent="0.25">
      <c r="A53" s="5" t="s">
        <v>88</v>
      </c>
      <c r="C53" s="26">
        <f>(C32-C46)/A8*100</f>
        <v>-8.7583482944344695</v>
      </c>
      <c r="D53" s="26">
        <f>((D32-D46))/A8*100</f>
        <v>-1.2957953321364466</v>
      </c>
      <c r="E53" s="26">
        <f>((E32-E46))/A8*100</f>
        <v>1.3706879712746864</v>
      </c>
      <c r="F53" s="26">
        <f>((F32-F46))/A8*100</f>
        <v>4.7761246427289015</v>
      </c>
      <c r="G53" s="26">
        <f>((G32-G46))/A8*100</f>
        <v>9.7760785730341091</v>
      </c>
      <c r="H53" s="26">
        <f>SUM(C53:G53)/5</f>
        <v>1.1737495120933561</v>
      </c>
      <c r="I53" s="26"/>
      <c r="J53" s="26"/>
      <c r="K53" s="26"/>
      <c r="L53" s="26"/>
      <c r="M53" s="30"/>
    </row>
    <row r="54" spans="1:13" x14ac:dyDescent="0.25">
      <c r="C54" s="14"/>
      <c r="D54" s="14"/>
      <c r="E54" s="14"/>
      <c r="F54" s="14"/>
      <c r="G54" s="14"/>
      <c r="I54" s="14"/>
      <c r="J54" s="14"/>
      <c r="K54" s="14"/>
      <c r="L54" s="14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G19</f>
        <v>84450.507448130898</v>
      </c>
      <c r="C56" s="29"/>
    </row>
    <row r="57" spans="1:13" x14ac:dyDescent="0.25">
      <c r="A57" s="1" t="s">
        <v>61</v>
      </c>
      <c r="B57" s="34">
        <f>(C8+D8)*0.5</f>
        <v>33200</v>
      </c>
      <c r="C57" s="29">
        <v>0.5</v>
      </c>
    </row>
    <row r="58" spans="1:13" x14ac:dyDescent="0.25">
      <c r="A58" s="5" t="s">
        <v>62</v>
      </c>
      <c r="B58" s="33">
        <f>SUM(B56:B57)</f>
        <v>117650.5074481309</v>
      </c>
      <c r="D58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J24" sqref="J24"/>
    </sheetView>
  </sheetViews>
  <sheetFormatPr defaultColWidth="11.42578125" defaultRowHeight="15.75" x14ac:dyDescent="0.25"/>
  <cols>
    <col min="1" max="1" width="26.42578125" style="1" customWidth="1"/>
    <col min="2" max="2" width="15.28515625" style="1" customWidth="1"/>
    <col min="3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2" width="13.140625" style="1" customWidth="1"/>
    <col min="13" max="13" width="12.7109375" style="1" customWidth="1"/>
    <col min="14" max="14" width="13" style="1" customWidth="1"/>
    <col min="15" max="23" width="10.7109375" style="1" customWidth="1"/>
    <col min="24" max="16384" width="11.42578125" style="1"/>
  </cols>
  <sheetData>
    <row r="1" spans="1:13" ht="23.25" x14ac:dyDescent="0.35">
      <c r="E1" s="2" t="s">
        <v>63</v>
      </c>
    </row>
    <row r="2" spans="1:13" ht="23.25" x14ac:dyDescent="0.35">
      <c r="E2" s="2"/>
      <c r="I2" s="3" t="s">
        <v>64</v>
      </c>
    </row>
    <row r="3" spans="1:13" ht="18.75" x14ac:dyDescent="0.3">
      <c r="A3" s="4" t="s">
        <v>73</v>
      </c>
      <c r="B3" s="4"/>
      <c r="I3" s="1" t="s">
        <v>2</v>
      </c>
    </row>
    <row r="4" spans="1:13" x14ac:dyDescent="0.25">
      <c r="A4" s="5"/>
      <c r="B4" s="5"/>
      <c r="I4" s="1" t="s">
        <v>4</v>
      </c>
      <c r="L4" s="6"/>
      <c r="M4" s="6"/>
    </row>
    <row r="5" spans="1:13" x14ac:dyDescent="0.25">
      <c r="A5" s="5" t="s">
        <v>6</v>
      </c>
      <c r="B5" s="5"/>
      <c r="I5" s="1" t="s">
        <v>74</v>
      </c>
    </row>
    <row r="6" spans="1:13" x14ac:dyDescent="0.25">
      <c r="I6" s="1" t="s">
        <v>7</v>
      </c>
      <c r="J6" s="6"/>
    </row>
    <row r="7" spans="1:13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I7" s="1" t="s">
        <v>8</v>
      </c>
      <c r="J7" s="7"/>
      <c r="L7" s="7"/>
    </row>
    <row r="8" spans="1:13" s="5" customFormat="1" x14ac:dyDescent="0.25">
      <c r="A8" s="32">
        <f>SUM(C8:G8)</f>
        <v>111400</v>
      </c>
      <c r="B8" s="32"/>
      <c r="C8" s="35">
        <v>40000</v>
      </c>
      <c r="D8" s="35">
        <v>26400</v>
      </c>
      <c r="E8" s="5">
        <v>45000</v>
      </c>
      <c r="I8" s="1" t="s">
        <v>13</v>
      </c>
      <c r="J8" s="7"/>
      <c r="K8" s="9"/>
      <c r="L8" s="10"/>
    </row>
    <row r="9" spans="1:13" s="5" customFormat="1" x14ac:dyDescent="0.25">
      <c r="A9" s="7"/>
      <c r="B9" s="7"/>
      <c r="D9" s="8"/>
      <c r="F9" s="8"/>
      <c r="I9" s="1" t="s">
        <v>14</v>
      </c>
      <c r="J9" s="7"/>
      <c r="K9" s="9"/>
      <c r="L9" s="10"/>
    </row>
    <row r="10" spans="1:13" x14ac:dyDescent="0.25">
      <c r="A10" s="11" t="s">
        <v>16</v>
      </c>
      <c r="B10" s="11"/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I10" s="1" t="s">
        <v>75</v>
      </c>
    </row>
    <row r="11" spans="1:13" x14ac:dyDescent="0.25">
      <c r="A11" s="12" t="s">
        <v>18</v>
      </c>
      <c r="B11" s="12"/>
      <c r="C11" s="13">
        <v>10</v>
      </c>
      <c r="D11" s="14">
        <f>(C11+C12)-C25</f>
        <v>10</v>
      </c>
      <c r="E11" s="14">
        <f>(D11+D12)-D25</f>
        <v>9</v>
      </c>
      <c r="F11" s="14">
        <f>(E11+E12)-E25</f>
        <v>9.879999999999999</v>
      </c>
      <c r="G11" s="14">
        <f>(F11+F12)-F25</f>
        <v>10.759999999999998</v>
      </c>
      <c r="I11" s="5" t="s">
        <v>15</v>
      </c>
    </row>
    <row r="12" spans="1:13" x14ac:dyDescent="0.25">
      <c r="A12" s="12" t="s">
        <v>19</v>
      </c>
      <c r="B12" s="12"/>
      <c r="C12" s="13">
        <v>0</v>
      </c>
      <c r="D12" s="14">
        <f t="shared" ref="D12:G12" si="0">C13</f>
        <v>0</v>
      </c>
      <c r="E12" s="14">
        <f t="shared" si="0"/>
        <v>3.88</v>
      </c>
      <c r="F12" s="14">
        <f t="shared" si="0"/>
        <v>3.88</v>
      </c>
      <c r="G12" s="14">
        <f t="shared" si="0"/>
        <v>4.4329000000000001</v>
      </c>
    </row>
    <row r="13" spans="1:13" x14ac:dyDescent="0.25">
      <c r="A13" s="12" t="s">
        <v>20</v>
      </c>
      <c r="B13" s="12"/>
      <c r="C13" s="13">
        <v>0</v>
      </c>
      <c r="D13" s="14">
        <f t="shared" ref="D13:G13" si="1">(C14*0.5)*0.97</f>
        <v>3.88</v>
      </c>
      <c r="E13" s="14">
        <f t="shared" si="1"/>
        <v>3.88</v>
      </c>
      <c r="F13" s="14">
        <f t="shared" si="1"/>
        <v>4.4329000000000001</v>
      </c>
      <c r="G13" s="14">
        <f t="shared" si="1"/>
        <v>4.7743399999999996</v>
      </c>
    </row>
    <row r="14" spans="1:13" x14ac:dyDescent="0.25">
      <c r="A14" s="15" t="s">
        <v>21</v>
      </c>
      <c r="B14" s="15"/>
      <c r="C14" s="14">
        <f t="shared" ref="C14:G14" si="2">((C11*C15)+(C12*0.5))</f>
        <v>8</v>
      </c>
      <c r="D14" s="14">
        <f t="shared" si="2"/>
        <v>8</v>
      </c>
      <c r="E14" s="14">
        <f t="shared" si="2"/>
        <v>9.14</v>
      </c>
      <c r="F14" s="14">
        <f t="shared" si="2"/>
        <v>9.8439999999999994</v>
      </c>
      <c r="G14" s="14">
        <f t="shared" si="2"/>
        <v>10.824449999999999</v>
      </c>
    </row>
    <row r="15" spans="1:13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</row>
    <row r="16" spans="1:13" x14ac:dyDescent="0.25">
      <c r="A16" s="15" t="s">
        <v>23</v>
      </c>
      <c r="B16" s="15"/>
      <c r="C16" s="18">
        <v>7</v>
      </c>
      <c r="D16" s="14">
        <f>((C16+C17)-(C23+C28))*0.98</f>
        <v>8.82</v>
      </c>
      <c r="E16" s="14">
        <f>((D16+D17)-(D23+D28))*0.98</f>
        <v>9.5059999999999985</v>
      </c>
      <c r="F16" s="14">
        <f>((E16+E17)-(E23+E28))*0.98</f>
        <v>10.031279999999999</v>
      </c>
      <c r="G16" s="14">
        <f>((F16+F17)-(F23+F28))*0.98</f>
        <v>11.234896399999998</v>
      </c>
    </row>
    <row r="17" spans="1:17" x14ac:dyDescent="0.25">
      <c r="A17" s="12" t="s">
        <v>24</v>
      </c>
      <c r="B17" s="12"/>
      <c r="C17" s="13">
        <v>3</v>
      </c>
      <c r="D17" s="14">
        <f>(C14*0.5)*0.97</f>
        <v>3.88</v>
      </c>
      <c r="E17" s="14">
        <f>(D14*0.5)*0.97</f>
        <v>3.88</v>
      </c>
      <c r="F17" s="14">
        <f>(E14*0.5)*0.97</f>
        <v>4.4329000000000001</v>
      </c>
      <c r="G17" s="14">
        <f>(F14*0.5)*0.97</f>
        <v>4.7743399999999996</v>
      </c>
    </row>
    <row r="18" spans="1:17" x14ac:dyDescent="0.25">
      <c r="A18" s="15" t="s">
        <v>25</v>
      </c>
      <c r="B18" s="15"/>
      <c r="C18" s="14">
        <f t="shared" ref="C18:G18" si="3">SUM(C11:C17)</f>
        <v>28.8</v>
      </c>
      <c r="D18" s="14">
        <f t="shared" si="3"/>
        <v>35.380000000000003</v>
      </c>
      <c r="E18" s="14">
        <f t="shared" si="3"/>
        <v>40.085999999999999</v>
      </c>
      <c r="F18" s="14">
        <f t="shared" si="3"/>
        <v>43.301079999999999</v>
      </c>
      <c r="G18" s="14">
        <f t="shared" si="3"/>
        <v>47.600926399999999</v>
      </c>
    </row>
    <row r="19" spans="1:17" x14ac:dyDescent="0.25">
      <c r="A19" s="15" t="s">
        <v>26</v>
      </c>
      <c r="B19" s="15"/>
      <c r="C19" s="19">
        <f>SUM(C11*C26)+((C16*0.25)*C24)+(C16*0.75*C29)+(C13*C22)+(C14*C22)+(C12*0.85*C26)+(C17*1000)</f>
        <v>44450</v>
      </c>
      <c r="D19" s="19">
        <f>SUM(D11*D26)+((D16*0.25)*D24)+(D16*0.75*D29)+(D13*D22)+(D14*D22)+(D12*0.85*D26)+(D17*1000)</f>
        <v>56963.184999999998</v>
      </c>
      <c r="E19" s="19">
        <f>SUM(E11*E26)+((E16*0.25)*E24)+(E16*0.75*E29)+(E13*E22)+(E14*E22)+(E12*0.85*E26)+(E17*1000)</f>
        <v>65496.939474999992</v>
      </c>
      <c r="F19" s="19">
        <f>SUM(F11*F26)+((F16*0.25)*F24)+(F16*0.75*F29)+(F13*F22)+(F14*F22)+(F12*0.85*F26)+(F17*1000)</f>
        <v>73012.604610184993</v>
      </c>
      <c r="G19" s="19">
        <f>SUM(G11*G26)+((G16*0.25)*G24)+(G16*0.75*G29)+(G13*G22)+(G14*G22)+(G12*0.85*G26)+(G17*1000)</f>
        <v>84494.619243633701</v>
      </c>
    </row>
    <row r="20" spans="1:17" x14ac:dyDescent="0.25">
      <c r="A20" s="11" t="s">
        <v>27</v>
      </c>
      <c r="B20" s="11"/>
    </row>
    <row r="21" spans="1:17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17" x14ac:dyDescent="0.25">
      <c r="A22" s="15" t="s">
        <v>29</v>
      </c>
      <c r="B22" s="15"/>
      <c r="C22" s="19">
        <v>650</v>
      </c>
      <c r="D22" s="19">
        <f>C22*1.03</f>
        <v>669.5</v>
      </c>
      <c r="E22" s="19">
        <f t="shared" ref="E22:G22" si="4">D22*1.03</f>
        <v>689.58500000000004</v>
      </c>
      <c r="F22" s="19">
        <f t="shared" si="4"/>
        <v>710.27255000000002</v>
      </c>
      <c r="G22" s="19">
        <f t="shared" si="4"/>
        <v>731.58072650000008</v>
      </c>
    </row>
    <row r="23" spans="1:17" x14ac:dyDescent="0.25">
      <c r="A23" s="12" t="s">
        <v>30</v>
      </c>
      <c r="B23" s="12"/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17" x14ac:dyDescent="0.25">
      <c r="A24" s="12" t="s">
        <v>31</v>
      </c>
      <c r="B24" s="12"/>
      <c r="C24" s="19">
        <v>1500</v>
      </c>
      <c r="D24" s="19">
        <f>C24*1.02</f>
        <v>1530</v>
      </c>
      <c r="E24" s="19">
        <f t="shared" ref="E24:G24" si="5">D24*1.02</f>
        <v>1560.6000000000001</v>
      </c>
      <c r="F24" s="19">
        <f t="shared" si="5"/>
        <v>1591.8120000000001</v>
      </c>
      <c r="G24" s="19">
        <f t="shared" si="5"/>
        <v>1623.6482400000002</v>
      </c>
      <c r="Q24" s="14"/>
    </row>
    <row r="25" spans="1:17" x14ac:dyDescent="0.25">
      <c r="A25" s="15" t="s">
        <v>32</v>
      </c>
      <c r="B25" s="15"/>
      <c r="C25" s="18">
        <v>0</v>
      </c>
      <c r="D25" s="18">
        <v>1</v>
      </c>
      <c r="E25" s="18">
        <v>3</v>
      </c>
      <c r="F25" s="18">
        <v>3</v>
      </c>
      <c r="G25" s="18">
        <v>4</v>
      </c>
    </row>
    <row r="26" spans="1:17" x14ac:dyDescent="0.25">
      <c r="A26" s="15" t="s">
        <v>33</v>
      </c>
      <c r="B26" s="15"/>
      <c r="C26" s="19">
        <v>1000</v>
      </c>
      <c r="D26" s="19">
        <f>C26*1.05</f>
        <v>1050</v>
      </c>
      <c r="E26" s="19">
        <f t="shared" ref="E26:G26" si="6">D26*1.05</f>
        <v>1102.5</v>
      </c>
      <c r="F26" s="19">
        <f t="shared" si="6"/>
        <v>1157.625</v>
      </c>
      <c r="G26" s="19">
        <f t="shared" si="6"/>
        <v>1215.5062500000001</v>
      </c>
    </row>
    <row r="27" spans="1:17" x14ac:dyDescent="0.25">
      <c r="A27" s="12" t="s">
        <v>34</v>
      </c>
      <c r="B27" s="12"/>
      <c r="C27" s="14">
        <f>C18*0.02</f>
        <v>0.57600000000000007</v>
      </c>
      <c r="D27" s="14">
        <f t="shared" ref="D27:G27" si="7">D18*0.02</f>
        <v>0.70760000000000012</v>
      </c>
      <c r="E27" s="14">
        <f t="shared" si="7"/>
        <v>0.80171999999999999</v>
      </c>
      <c r="F27" s="14">
        <f t="shared" si="7"/>
        <v>0.86602159999999995</v>
      </c>
      <c r="G27" s="14">
        <f t="shared" si="7"/>
        <v>0.95201852799999998</v>
      </c>
    </row>
    <row r="28" spans="1:17" x14ac:dyDescent="0.25">
      <c r="A28" s="12" t="s">
        <v>35</v>
      </c>
      <c r="B28" s="12"/>
      <c r="C28" s="13">
        <v>1</v>
      </c>
      <c r="D28" s="13">
        <v>3</v>
      </c>
      <c r="E28" s="13">
        <f t="shared" ref="D28:G29" si="8">D28*1.05</f>
        <v>3.1500000000000004</v>
      </c>
      <c r="F28" s="13">
        <v>3</v>
      </c>
      <c r="G28" s="13">
        <v>4</v>
      </c>
      <c r="H28" s="14"/>
    </row>
    <row r="29" spans="1:17" x14ac:dyDescent="0.25">
      <c r="A29" s="12" t="s">
        <v>36</v>
      </c>
      <c r="B29" s="12"/>
      <c r="C29" s="19">
        <v>4500</v>
      </c>
      <c r="D29" s="19">
        <f t="shared" si="8"/>
        <v>4725</v>
      </c>
      <c r="E29" s="19">
        <f t="shared" si="8"/>
        <v>4961.25</v>
      </c>
      <c r="F29" s="19">
        <f t="shared" si="8"/>
        <v>5209.3125</v>
      </c>
      <c r="G29" s="19">
        <f t="shared" si="8"/>
        <v>5469.7781249999998</v>
      </c>
    </row>
    <row r="30" spans="1:17" x14ac:dyDescent="0.25">
      <c r="A30" s="15" t="s">
        <v>37</v>
      </c>
      <c r="B30" s="15"/>
      <c r="C30" s="20">
        <f>((C16-C28)*12)+(C17*2)</f>
        <v>78</v>
      </c>
      <c r="D30" s="20">
        <f>((D16-D28)*12)+(D17*2)</f>
        <v>77.600000000000009</v>
      </c>
      <c r="E30" s="20">
        <f>((E16-E28)*12)+(E17*2)</f>
        <v>84.031999999999982</v>
      </c>
      <c r="F30" s="20">
        <f>((F16-F28)*12)+(F17*2)</f>
        <v>93.241159999999979</v>
      </c>
      <c r="G30" s="20">
        <f>((G16-G28)*12)+(G17*2)</f>
        <v>96.367436799999993</v>
      </c>
    </row>
    <row r="31" spans="1:17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</row>
    <row r="32" spans="1:17" x14ac:dyDescent="0.25">
      <c r="A32" s="11" t="s">
        <v>39</v>
      </c>
      <c r="B32" s="11"/>
      <c r="C32" s="19">
        <f>(C21*C22)+(C23*C24)+(C25*C26)+(C28*C29)+(C30*C31)</f>
        <v>7230</v>
      </c>
      <c r="D32" s="19">
        <f t="shared" ref="D32:G32" si="9">(D21*D22)+(D23*D24)+(D25*D26)+(D28*D29)+(D30*D31)</f>
        <v>17941</v>
      </c>
      <c r="E32" s="19">
        <f t="shared" si="9"/>
        <v>21876.557499999999</v>
      </c>
      <c r="F32" s="19">
        <f t="shared" si="9"/>
        <v>22364.253099999998</v>
      </c>
      <c r="G32" s="19">
        <f t="shared" si="9"/>
        <v>30113.997788000001</v>
      </c>
    </row>
    <row r="33" spans="1:8" x14ac:dyDescent="0.25">
      <c r="A33" s="15" t="s">
        <v>40</v>
      </c>
      <c r="B33" s="15"/>
      <c r="C33" s="19">
        <f t="shared" ref="C33:G33" si="10">C32/(C16+C11)</f>
        <v>425.29411764705884</v>
      </c>
      <c r="D33" s="19">
        <f t="shared" si="10"/>
        <v>953.2943676939426</v>
      </c>
      <c r="E33" s="19">
        <f t="shared" si="10"/>
        <v>1182.1332270614935</v>
      </c>
      <c r="F33" s="19">
        <f t="shared" si="10"/>
        <v>1123.1951486795424</v>
      </c>
      <c r="G33" s="19">
        <f t="shared" si="10"/>
        <v>1369.135695860791</v>
      </c>
    </row>
    <row r="34" spans="1:8" x14ac:dyDescent="0.25">
      <c r="C34" s="14"/>
    </row>
    <row r="35" spans="1:8" x14ac:dyDescent="0.25">
      <c r="A35" s="11" t="s">
        <v>41</v>
      </c>
      <c r="B35" s="11"/>
    </row>
    <row r="36" spans="1:8" x14ac:dyDescent="0.25">
      <c r="A36" s="15" t="s">
        <v>42</v>
      </c>
      <c r="B36" s="15"/>
      <c r="C36" s="19">
        <f>((C11+C12+C13)*200)</f>
        <v>2000</v>
      </c>
      <c r="D36" s="19">
        <f t="shared" ref="D36:G36" si="11">((D11+D12+D13)*200)</f>
        <v>2776</v>
      </c>
      <c r="E36" s="19">
        <f t="shared" si="11"/>
        <v>3351.9999999999995</v>
      </c>
      <c r="F36" s="19">
        <f t="shared" si="11"/>
        <v>3638.5799999999995</v>
      </c>
      <c r="G36" s="19">
        <f t="shared" si="11"/>
        <v>3993.4479999999994</v>
      </c>
    </row>
    <row r="37" spans="1:8" x14ac:dyDescent="0.25">
      <c r="A37" s="15" t="s">
        <v>43</v>
      </c>
      <c r="B37" s="22">
        <v>0.02</v>
      </c>
      <c r="C37" s="19">
        <f>D8*B37</f>
        <v>528</v>
      </c>
      <c r="D37" s="14">
        <f t="shared" ref="D37:G37" si="12">C37*1.05</f>
        <v>554.4</v>
      </c>
      <c r="E37" s="14">
        <f t="shared" si="12"/>
        <v>582.12</v>
      </c>
      <c r="F37" s="14">
        <f t="shared" si="12"/>
        <v>611.226</v>
      </c>
      <c r="G37" s="14">
        <f t="shared" si="12"/>
        <v>641.78730000000007</v>
      </c>
    </row>
    <row r="38" spans="1:8" x14ac:dyDescent="0.25">
      <c r="A38" s="12" t="s">
        <v>44</v>
      </c>
      <c r="B38" s="23">
        <v>0.02</v>
      </c>
      <c r="C38" s="19">
        <f>C8*B38</f>
        <v>800</v>
      </c>
      <c r="D38" s="14">
        <f t="shared" ref="D38:G38" si="13">C38*1.03</f>
        <v>824</v>
      </c>
      <c r="E38" s="14">
        <f t="shared" si="13"/>
        <v>848.72</v>
      </c>
      <c r="F38" s="14">
        <f t="shared" si="13"/>
        <v>874.1816</v>
      </c>
      <c r="G38" s="14">
        <f t="shared" si="13"/>
        <v>900.40704800000003</v>
      </c>
    </row>
    <row r="39" spans="1:8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4356</v>
      </c>
      <c r="D39" s="19">
        <f>((D11*15*180)+(D12*15*180)+(D17*20*180)+(D16*20*180)+(D13*15*180)+(D14*10*120))/2000*B39</f>
        <v>5567.76</v>
      </c>
      <c r="E39" s="19">
        <f>((E11*15*180)+(E12*15*180)+(E17*20*180)+(E16*20*180)+(E13*15*180)+(E14*10*120))/2000*B39</f>
        <v>6264.5760000000009</v>
      </c>
      <c r="F39" s="19">
        <f>((F11*15*180)+(F12*15*180)+(F17*20*180)+(F16*20*180)+(F13*15*180)+(F14*10*120))/2000*B39</f>
        <v>6780.2806799999998</v>
      </c>
      <c r="G39" s="19">
        <f>((G11*15*180)+(G12*15*180)+(G17*20*180)+(G16*20*180)+(G13*15*180)+(G14*10*120))/2000*B39</f>
        <v>7472.0483423999995</v>
      </c>
    </row>
    <row r="40" spans="1:8" x14ac:dyDescent="0.25">
      <c r="A40" s="15" t="s">
        <v>71</v>
      </c>
      <c r="B40" s="22">
        <v>120</v>
      </c>
      <c r="C40" s="24">
        <f>((C11*3*180)+(C12*3*180)+(C16*5*180)+(C17*5*180)+(C13*4*180)+(C14*3*120))*(B40/2000)</f>
        <v>1036.8</v>
      </c>
      <c r="D40" s="24">
        <f>((D11*3*180)+(D12*3*180)+(D16*5*180)+(D17*5*180)+(D13*4*180)+(D14*3*120))*(B40/2000)</f>
        <v>1350.2159999999999</v>
      </c>
      <c r="E40" s="24">
        <f>((E11*3*180)+(E12*3*180)+(E16*5*180)+(E17*5*180)+(E13*4*180)+(E14*3*120))*(B40/2000)</f>
        <v>1505.1959999999999</v>
      </c>
      <c r="F40" s="24">
        <f>((F11*3*180)+(F12*3*180)+(F16*5*180)+(F17*5*180)+(F13*4*180)+(F14*3*120))*(B40/2000)</f>
        <v>1631.0213999999999</v>
      </c>
      <c r="G40" s="24">
        <f>((G11*3*180)+(G12*3*180)+(G16*5*180)+(G17*5*180)+(G13*4*180)+(G14*3*120))*(B40/2000)</f>
        <v>1796.8083335999995</v>
      </c>
      <c r="H40" s="1" t="s">
        <v>47</v>
      </c>
    </row>
    <row r="41" spans="1:8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826</v>
      </c>
      <c r="D41" s="19">
        <f>((D11*0.5*365)+(D16*0.5*365)+(D17*0.5*365)+ (C12*0.5*365)+(D13*0.5*365)+(D14*0.5*120))*(B41/2000)</f>
        <v>1066.17</v>
      </c>
      <c r="E41" s="19">
        <f>((E11*0.5*365)+(E16*0.5*365)+(E17*0.5*365)+ (D12*0.5*365)+(E13*0.5*365)+(E14*0.5*120))*(B41/2000)</f>
        <v>1068.3889999999999</v>
      </c>
      <c r="F41" s="19">
        <f>((F11*0.5*365)+(F16*0.5*365)+(F17*0.5*365)+ (E12*0.5*365)+(F13*0.5*365)+(F14*0.5*120))*(B41/2000)</f>
        <v>1310.1114200000002</v>
      </c>
      <c r="G41" s="19">
        <f>((G11*0.5*365)+(G16*0.5*365)+(G17*0.5*365)+ (F12*0.5*365)+(G13*0.5*365)+(G14*0.5*120))*(B41/2000)</f>
        <v>1422.8539385999998</v>
      </c>
      <c r="H41" s="1" t="s">
        <v>72</v>
      </c>
    </row>
    <row r="42" spans="1:8" x14ac:dyDescent="0.25">
      <c r="A42" s="15" t="s">
        <v>50</v>
      </c>
      <c r="B42" s="22">
        <v>15</v>
      </c>
      <c r="C42" s="19">
        <f>(C11+C16+C12+C17+C13+C14)*B42</f>
        <v>420</v>
      </c>
      <c r="D42" s="19">
        <f>(D11+D16+D12+D17+D13+D14)*B42</f>
        <v>518.69999999999993</v>
      </c>
      <c r="E42" s="19">
        <f>(E11+E16+E12+E17+E13+E14)*B42</f>
        <v>589.29</v>
      </c>
      <c r="F42" s="19">
        <f>(F11+F16+F12+F17+F13+F14)*B42</f>
        <v>637.51619999999991</v>
      </c>
      <c r="G42" s="19">
        <f>(G11+G16+G12+G17+G13+G14)*B42</f>
        <v>702.01389599999993</v>
      </c>
    </row>
    <row r="43" spans="1:8" x14ac:dyDescent="0.25">
      <c r="A43" s="15" t="s">
        <v>51</v>
      </c>
      <c r="B43" s="22">
        <v>10</v>
      </c>
      <c r="C43" s="19">
        <f>(C11+C16+C12+C17+C13+C14)*B43</f>
        <v>280</v>
      </c>
      <c r="D43" s="19">
        <f>(D11+D16+D12+D17+D13+D14)*B43</f>
        <v>345.79999999999995</v>
      </c>
      <c r="E43" s="19">
        <f>(E11+E16+E12+E17+E13+E14)*B43</f>
        <v>392.86</v>
      </c>
      <c r="F43" s="19">
        <f>(F11+F16+F12+F17+F13+F14)*B43</f>
        <v>425.01079999999996</v>
      </c>
      <c r="G43" s="19">
        <f>(G11+G16+G12+G17+G13+G14)*B43</f>
        <v>468.00926399999992</v>
      </c>
    </row>
    <row r="44" spans="1:8" x14ac:dyDescent="0.25">
      <c r="A44" s="15" t="s">
        <v>52</v>
      </c>
      <c r="B44" s="22">
        <v>40</v>
      </c>
      <c r="C44" s="19">
        <f>(C11+C16+C12+C17+C13+C14)*B44</f>
        <v>1120</v>
      </c>
      <c r="D44" s="19">
        <f>(D11+D16+D12+D17+D13+D14)*B44</f>
        <v>1383.1999999999998</v>
      </c>
      <c r="E44" s="19">
        <f>(E11+E16+E12+E17+E13+E14)*B44</f>
        <v>1571.44</v>
      </c>
      <c r="F44" s="19">
        <f>(F11+F16+F12+F17+F13+F14)*B44</f>
        <v>1700.0431999999998</v>
      </c>
      <c r="G44" s="19">
        <f>(G11+G16+G12+G17+G13+G14)*B44</f>
        <v>1872.0370559999997</v>
      </c>
    </row>
    <row r="45" spans="1:8" x14ac:dyDescent="0.25">
      <c r="A45" s="15" t="s">
        <v>53</v>
      </c>
      <c r="B45" s="22">
        <v>30</v>
      </c>
      <c r="C45" s="19">
        <f>(C11+C16+C12+C17+C13+C14)*B45</f>
        <v>840</v>
      </c>
      <c r="D45" s="19">
        <f>(D11+D16+D12+D17+D13+D14)*B45</f>
        <v>1037.3999999999999</v>
      </c>
      <c r="E45" s="19">
        <f>(E11+E16+E12+E17+E13+E14)*B45</f>
        <v>1178.58</v>
      </c>
      <c r="F45" s="19">
        <f>(F11+F16+F12+F17+F13+F14)*B45</f>
        <v>1275.0323999999998</v>
      </c>
      <c r="G45" s="19">
        <f>(G11+G16+G12+G17+G13+G14)*B45</f>
        <v>1404.0277919999999</v>
      </c>
    </row>
    <row r="46" spans="1:8" x14ac:dyDescent="0.25">
      <c r="A46" s="11" t="s">
        <v>54</v>
      </c>
      <c r="B46" s="11"/>
      <c r="C46" s="19">
        <f>SUM(C36:C45)</f>
        <v>12206.8</v>
      </c>
      <c r="D46" s="19">
        <f t="shared" ref="D46:G46" si="14">SUM(D36:D45)</f>
        <v>15423.645999999999</v>
      </c>
      <c r="E46" s="19">
        <f t="shared" si="14"/>
        <v>17353.171000000002</v>
      </c>
      <c r="F46" s="19">
        <f t="shared" si="14"/>
        <v>18883.003699999997</v>
      </c>
      <c r="G46" s="19">
        <f t="shared" si="14"/>
        <v>20673.440970600001</v>
      </c>
    </row>
    <row r="47" spans="1:8" x14ac:dyDescent="0.25">
      <c r="A47" s="15" t="s">
        <v>55</v>
      </c>
      <c r="B47" s="15"/>
      <c r="C47" s="19">
        <f>C46/(C11+C16+C13+C14)</f>
        <v>488.27199999999999</v>
      </c>
      <c r="D47" s="19">
        <f>D46/(D11+D16+D13+D14)</f>
        <v>502.39889250814332</v>
      </c>
      <c r="E47" s="19">
        <f>E46/(E11+E16+E13+E14)</f>
        <v>550.43998604326589</v>
      </c>
      <c r="F47" s="19">
        <f>F46/(F11+F16+F13+F14)</f>
        <v>552.32550255673164</v>
      </c>
      <c r="G47" s="19">
        <f>G46/(G11+G16+G13+G14)</f>
        <v>549.91789713391881</v>
      </c>
    </row>
    <row r="48" spans="1:8" x14ac:dyDescent="0.25">
      <c r="C48" s="14"/>
      <c r="D48" s="14"/>
      <c r="E48" s="14"/>
      <c r="F48" s="14"/>
      <c r="G48" s="14"/>
    </row>
    <row r="49" spans="1:13" x14ac:dyDescent="0.25">
      <c r="A49" s="11" t="s">
        <v>56</v>
      </c>
      <c r="B49" s="11"/>
      <c r="C49" s="19">
        <f>C32-C46</f>
        <v>-4976.7999999999993</v>
      </c>
      <c r="D49" s="19">
        <f t="shared" ref="D49:G49" si="15">D32-D46</f>
        <v>2517.3540000000012</v>
      </c>
      <c r="E49" s="19">
        <f t="shared" si="15"/>
        <v>4523.3864999999969</v>
      </c>
      <c r="F49" s="19">
        <f t="shared" si="15"/>
        <v>3481.2494000000006</v>
      </c>
      <c r="G49" s="19">
        <f t="shared" si="15"/>
        <v>9440.5568174</v>
      </c>
    </row>
    <row r="50" spans="1:13" x14ac:dyDescent="0.25">
      <c r="A50" s="15" t="s">
        <v>57</v>
      </c>
      <c r="B50" s="15"/>
      <c r="C50" s="19">
        <f>C49/(C16+C11)</f>
        <v>-292.75294117647053</v>
      </c>
      <c r="D50" s="19">
        <f>D49/(D16+D11)</f>
        <v>133.75951115834226</v>
      </c>
      <c r="E50" s="19">
        <f>E49/(E16+E11)</f>
        <v>244.42810439857325</v>
      </c>
      <c r="F50" s="19">
        <f>F49/(F16+F11)</f>
        <v>174.83805159688382</v>
      </c>
      <c r="G50" s="19">
        <f>G49/(G16+G11)</f>
        <v>429.21578923190572</v>
      </c>
    </row>
    <row r="51" spans="1:13" x14ac:dyDescent="0.25">
      <c r="A51" s="16" t="s">
        <v>58</v>
      </c>
      <c r="B51" s="16"/>
      <c r="C51" s="17">
        <f>(C49/(((C11+C13)*C26)+(C16*C29)+(((C14*0.5)-C21)*C22)+D8))*100</f>
        <v>-7.0592907801418425</v>
      </c>
      <c r="D51" s="17">
        <f>(D49/(((D11+D13)*D26)+(D16*D29)+(((D14*0.5)-D21)*D22)+E8))*100</f>
        <v>2.4222445670738466</v>
      </c>
      <c r="E51" s="17">
        <f>(E49/(((E11+E13)*E26)+(E16*E29)+(((E14*0.5)-E21)*E22)+F8))*100</f>
        <v>7.0115624061231996</v>
      </c>
      <c r="F51" s="17">
        <f>(F49/(((F11+F13)*F26)+(F16*F29)+(((F14*0.5)-F21)*F22)+G8))*100</f>
        <v>4.8136076329622615</v>
      </c>
      <c r="G51" s="17">
        <f>(G49/(((G11+G13)*G26)+(G16*G29)+(((G14*0.5)-G21)*G22)+H8))*100</f>
        <v>11.199565314136878</v>
      </c>
      <c r="H51" s="27">
        <f>SUM(C51:G51)/5</f>
        <v>3.6775378280308688</v>
      </c>
    </row>
    <row r="52" spans="1:13" x14ac:dyDescent="0.25">
      <c r="C52" s="14"/>
      <c r="D52" s="14"/>
      <c r="E52" s="14"/>
      <c r="F52" s="14"/>
      <c r="G52" s="14"/>
      <c r="I52" s="14"/>
      <c r="J52" s="14"/>
      <c r="K52" s="14"/>
      <c r="L52" s="14"/>
    </row>
    <row r="53" spans="1:13" x14ac:dyDescent="0.25">
      <c r="A53" s="5" t="s">
        <v>88</v>
      </c>
      <c r="C53" s="26">
        <f>(C32-C46)/A8*100</f>
        <v>-4.4675044883303405</v>
      </c>
      <c r="D53" s="26">
        <f>((D32-D46))/A8*100</f>
        <v>2.2597432675044895</v>
      </c>
      <c r="E53" s="26">
        <f>((E32-E46))/A8*100</f>
        <v>4.0604905745062805</v>
      </c>
      <c r="F53" s="26">
        <f>((F32-F46))/A8*100</f>
        <v>3.1249994614003596</v>
      </c>
      <c r="G53" s="26">
        <f>((G32-G46))/A8*100</f>
        <v>8.4744675201077193</v>
      </c>
      <c r="H53" s="26">
        <f>SUM(C53:G53)/5</f>
        <v>2.6904392670377018</v>
      </c>
      <c r="I53" s="26"/>
      <c r="J53" s="26"/>
      <c r="K53" s="26"/>
      <c r="L53" s="26"/>
      <c r="M53" s="30"/>
    </row>
    <row r="54" spans="1:13" x14ac:dyDescent="0.25">
      <c r="C54" s="14"/>
      <c r="D54" s="14"/>
      <c r="E54" s="14"/>
      <c r="F54" s="14"/>
      <c r="G54" s="14"/>
      <c r="I54" s="14"/>
      <c r="J54" s="14"/>
      <c r="K54" s="14"/>
      <c r="L54" s="14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G19</f>
        <v>84494.619243633701</v>
      </c>
      <c r="C56" s="29"/>
    </row>
    <row r="57" spans="1:13" x14ac:dyDescent="0.25">
      <c r="A57" s="1" t="s">
        <v>61</v>
      </c>
      <c r="B57" s="34">
        <f>(C8+D8)*0.5</f>
        <v>33200</v>
      </c>
      <c r="C57" s="29" t="s">
        <v>76</v>
      </c>
    </row>
    <row r="58" spans="1:13" x14ac:dyDescent="0.25">
      <c r="A58" s="5" t="s">
        <v>62</v>
      </c>
      <c r="B58" s="33">
        <f>SUM(B56:B57)</f>
        <v>117694.6192436337</v>
      </c>
      <c r="D58" s="1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G3" sqref="G3"/>
    </sheetView>
  </sheetViews>
  <sheetFormatPr defaultColWidth="11.42578125" defaultRowHeight="15.75" x14ac:dyDescent="0.25"/>
  <cols>
    <col min="1" max="1" width="26.42578125" style="1" customWidth="1"/>
    <col min="2" max="2" width="15.28515625" style="1" customWidth="1"/>
    <col min="3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2" width="13.140625" style="1" customWidth="1"/>
    <col min="13" max="13" width="12.7109375" style="1" customWidth="1"/>
    <col min="14" max="14" width="13" style="1" customWidth="1"/>
    <col min="15" max="23" width="10.7109375" style="1" customWidth="1"/>
    <col min="24" max="16384" width="11.42578125" style="1"/>
  </cols>
  <sheetData>
    <row r="1" spans="1:13" ht="23.25" x14ac:dyDescent="0.35">
      <c r="E1" s="2" t="s">
        <v>63</v>
      </c>
    </row>
    <row r="2" spans="1:13" ht="23.25" x14ac:dyDescent="0.35">
      <c r="E2" s="2"/>
      <c r="I2" s="3" t="s">
        <v>64</v>
      </c>
    </row>
    <row r="3" spans="1:13" ht="18.75" x14ac:dyDescent="0.3">
      <c r="A3" s="4" t="s">
        <v>3</v>
      </c>
      <c r="B3" s="4"/>
      <c r="I3" s="1" t="s">
        <v>77</v>
      </c>
    </row>
    <row r="4" spans="1:13" x14ac:dyDescent="0.25">
      <c r="A4" s="5"/>
      <c r="B4" s="5"/>
      <c r="I4" s="1" t="s">
        <v>78</v>
      </c>
      <c r="L4" s="6"/>
      <c r="M4" s="6"/>
    </row>
    <row r="5" spans="1:13" x14ac:dyDescent="0.25">
      <c r="A5" s="5" t="s">
        <v>6</v>
      </c>
      <c r="B5" s="5"/>
      <c r="I5" s="1" t="s">
        <v>79</v>
      </c>
    </row>
    <row r="6" spans="1:13" x14ac:dyDescent="0.25">
      <c r="I6" s="1" t="s">
        <v>7</v>
      </c>
      <c r="J6" s="6"/>
    </row>
    <row r="7" spans="1:13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I7" s="1" t="s">
        <v>8</v>
      </c>
      <c r="J7" s="7"/>
      <c r="L7" s="7"/>
    </row>
    <row r="8" spans="1:13" s="5" customFormat="1" x14ac:dyDescent="0.25">
      <c r="A8" s="32">
        <f>SUM(C8:G8)</f>
        <v>91400</v>
      </c>
      <c r="B8" s="32"/>
      <c r="C8" s="35">
        <v>40000</v>
      </c>
      <c r="D8" s="35">
        <v>26400</v>
      </c>
      <c r="E8" s="33">
        <v>25000</v>
      </c>
      <c r="I8" s="1" t="s">
        <v>13</v>
      </c>
      <c r="J8" s="7"/>
      <c r="K8" s="9"/>
      <c r="L8" s="10"/>
    </row>
    <row r="9" spans="1:13" s="5" customFormat="1" x14ac:dyDescent="0.25">
      <c r="A9" s="7"/>
      <c r="B9" s="7"/>
      <c r="D9" s="8"/>
      <c r="F9" s="8"/>
      <c r="I9" s="1" t="s">
        <v>14</v>
      </c>
      <c r="J9" s="7"/>
      <c r="K9" s="9"/>
      <c r="L9" s="10"/>
    </row>
    <row r="10" spans="1:13" x14ac:dyDescent="0.25">
      <c r="A10" s="11" t="s">
        <v>16</v>
      </c>
      <c r="B10" s="11"/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I10" s="1" t="s">
        <v>80</v>
      </c>
    </row>
    <row r="11" spans="1:13" x14ac:dyDescent="0.25">
      <c r="A11" s="12" t="s">
        <v>18</v>
      </c>
      <c r="B11" s="12"/>
      <c r="C11" s="13">
        <v>10</v>
      </c>
      <c r="D11" s="14">
        <f>(C11+C12)-C25</f>
        <v>10</v>
      </c>
      <c r="E11" s="14">
        <f>(D11+D12)-D25</f>
        <v>9</v>
      </c>
      <c r="F11" s="14">
        <f>(E11+E12)-E25</f>
        <v>9.879999999999999</v>
      </c>
      <c r="G11" s="14">
        <f>(F11+F12)-F25</f>
        <v>10.759999999999998</v>
      </c>
      <c r="I11" s="5" t="s">
        <v>15</v>
      </c>
    </row>
    <row r="12" spans="1:13" x14ac:dyDescent="0.25">
      <c r="A12" s="12" t="s">
        <v>19</v>
      </c>
      <c r="B12" s="12"/>
      <c r="C12" s="13">
        <v>0</v>
      </c>
      <c r="D12" s="14">
        <f t="shared" ref="D12:G12" si="0">C13</f>
        <v>0</v>
      </c>
      <c r="E12" s="14">
        <f t="shared" si="0"/>
        <v>3.88</v>
      </c>
      <c r="F12" s="14">
        <f t="shared" si="0"/>
        <v>3.88</v>
      </c>
      <c r="G12" s="14">
        <f t="shared" si="0"/>
        <v>4.4329000000000001</v>
      </c>
    </row>
    <row r="13" spans="1:13" x14ac:dyDescent="0.25">
      <c r="A13" s="12" t="s">
        <v>20</v>
      </c>
      <c r="B13" s="12"/>
      <c r="C13" s="13">
        <v>0</v>
      </c>
      <c r="D13" s="14">
        <f t="shared" ref="D13:G13" si="1">(C14*0.5)*0.97</f>
        <v>3.88</v>
      </c>
      <c r="E13" s="14">
        <f t="shared" si="1"/>
        <v>3.88</v>
      </c>
      <c r="F13" s="14">
        <f t="shared" si="1"/>
        <v>4.4329000000000001</v>
      </c>
      <c r="G13" s="14">
        <f t="shared" si="1"/>
        <v>4.7743399999999996</v>
      </c>
    </row>
    <row r="14" spans="1:13" x14ac:dyDescent="0.25">
      <c r="A14" s="15" t="s">
        <v>21</v>
      </c>
      <c r="B14" s="15"/>
      <c r="C14" s="14">
        <f t="shared" ref="C14:G14" si="2">((C11*C15)+(C12*0.5))</f>
        <v>8</v>
      </c>
      <c r="D14" s="14">
        <f t="shared" si="2"/>
        <v>8</v>
      </c>
      <c r="E14" s="14">
        <f t="shared" si="2"/>
        <v>9.14</v>
      </c>
      <c r="F14" s="14">
        <f t="shared" si="2"/>
        <v>9.8439999999999994</v>
      </c>
      <c r="G14" s="14">
        <f t="shared" si="2"/>
        <v>10.824449999999999</v>
      </c>
    </row>
    <row r="15" spans="1:13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</row>
    <row r="16" spans="1:13" x14ac:dyDescent="0.25">
      <c r="A16" s="15" t="s">
        <v>23</v>
      </c>
      <c r="B16" s="15"/>
      <c r="C16" s="18">
        <v>1</v>
      </c>
      <c r="D16" s="14">
        <f>((C16+C17)-(C23+C28))*0.98</f>
        <v>0.98</v>
      </c>
      <c r="E16" s="14">
        <f>((D16+D17)-(D23+D28))*0.98</f>
        <v>4.7627999999999995</v>
      </c>
      <c r="F16" s="14">
        <f>((E16+E17)-(E23+E28))*0.98</f>
        <v>7.4899439999999995</v>
      </c>
      <c r="G16" s="14">
        <f>((F16+F17)-(F23+F28))*0.98</f>
        <v>11.68438712</v>
      </c>
    </row>
    <row r="17" spans="1:17" x14ac:dyDescent="0.25">
      <c r="A17" s="12" t="s">
        <v>24</v>
      </c>
      <c r="B17" s="12"/>
      <c r="C17" s="13">
        <v>0</v>
      </c>
      <c r="D17" s="14">
        <f>(C14*0.5)*0.97</f>
        <v>3.88</v>
      </c>
      <c r="E17" s="14">
        <f>(D14*0.5)*0.97</f>
        <v>3.88</v>
      </c>
      <c r="F17" s="14">
        <f>(E14*0.5)*0.97</f>
        <v>4.4329000000000001</v>
      </c>
      <c r="G17" s="14">
        <f>(F14*0.5)*0.97</f>
        <v>4.7743399999999996</v>
      </c>
    </row>
    <row r="18" spans="1:17" x14ac:dyDescent="0.25">
      <c r="A18" s="15" t="s">
        <v>25</v>
      </c>
      <c r="B18" s="15"/>
      <c r="C18" s="14">
        <f t="shared" ref="C18:G18" si="3">SUM(C11:C17)</f>
        <v>19.8</v>
      </c>
      <c r="D18" s="14">
        <f t="shared" si="3"/>
        <v>27.54</v>
      </c>
      <c r="E18" s="14">
        <f t="shared" si="3"/>
        <v>35.342799999999997</v>
      </c>
      <c r="F18" s="14">
        <f t="shared" si="3"/>
        <v>40.759743999999998</v>
      </c>
      <c r="G18" s="14">
        <f t="shared" si="3"/>
        <v>48.050417119999999</v>
      </c>
    </row>
    <row r="19" spans="1:17" x14ac:dyDescent="0.25">
      <c r="A19" s="15" t="s">
        <v>26</v>
      </c>
      <c r="B19" s="15"/>
      <c r="C19" s="19">
        <f>SUM(C11*C26)+((C16*0.25)*C24)+(C16*0.75*C29)+(C13*C22)+(C14*C22)+(C12*0.85*C26)+(C17*1000)</f>
        <v>18950</v>
      </c>
      <c r="D19" s="19">
        <f>SUM(D11*D26)+((D16*0.25)*D24)+(D16*0.75*D29)+(D13*D22)+(D14*D22)+(D12*0.85*D26)+(D17*1000)</f>
        <v>26181.385000000002</v>
      </c>
      <c r="E19" s="19">
        <f>SUM(E11*E26)+((E16*0.25)*E24)+(E16*0.75*E29)+(E13*E22)+(E14*E22)+(E12*0.85*E26)+(E17*1000)</f>
        <v>45997.229245000002</v>
      </c>
      <c r="F19" s="19">
        <f>SUM(F11*F26)+((F16*0.25)*F24)+(F16*0.75*F29)+(F13*F22)+(F14*F22)+(F12*0.85*F26)+(F17*1000)</f>
        <v>62072.312281351995</v>
      </c>
      <c r="G19" s="19">
        <f>SUM(G11*G26)+((G16*0.25)*G24)+(G16*0.75*G29)+(G13*G22)+(G14*G22)+(G12*0.85*G26)+(G17*1000)</f>
        <v>86521.033828474669</v>
      </c>
    </row>
    <row r="20" spans="1:17" x14ac:dyDescent="0.25">
      <c r="A20" s="11" t="s">
        <v>27</v>
      </c>
      <c r="B20" s="11"/>
    </row>
    <row r="21" spans="1:17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17" x14ac:dyDescent="0.25">
      <c r="A22" s="15" t="s">
        <v>29</v>
      </c>
      <c r="B22" s="15"/>
      <c r="C22" s="19">
        <v>650</v>
      </c>
      <c r="D22" s="19">
        <f>C22*1.03</f>
        <v>669.5</v>
      </c>
      <c r="E22" s="19">
        <f t="shared" ref="E22:G22" si="4">D22*1.03</f>
        <v>689.58500000000004</v>
      </c>
      <c r="F22" s="19">
        <f t="shared" si="4"/>
        <v>710.27255000000002</v>
      </c>
      <c r="G22" s="19">
        <f t="shared" si="4"/>
        <v>731.58072650000008</v>
      </c>
    </row>
    <row r="23" spans="1:17" x14ac:dyDescent="0.25">
      <c r="A23" s="12" t="s">
        <v>30</v>
      </c>
      <c r="B23" s="12"/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17" x14ac:dyDescent="0.25">
      <c r="A24" s="12" t="s">
        <v>31</v>
      </c>
      <c r="B24" s="12"/>
      <c r="C24" s="19">
        <v>1500</v>
      </c>
      <c r="D24" s="19">
        <f>C24*1.02</f>
        <v>1530</v>
      </c>
      <c r="E24" s="19">
        <f t="shared" ref="E24:G24" si="5">D24*1.02</f>
        <v>1560.6000000000001</v>
      </c>
      <c r="F24" s="19">
        <f t="shared" si="5"/>
        <v>1591.8120000000001</v>
      </c>
      <c r="G24" s="19">
        <f t="shared" si="5"/>
        <v>1623.6482400000002</v>
      </c>
      <c r="Q24" s="14"/>
    </row>
    <row r="25" spans="1:17" x14ac:dyDescent="0.25">
      <c r="A25" s="15" t="s">
        <v>32</v>
      </c>
      <c r="B25" s="15"/>
      <c r="C25" s="18">
        <v>0</v>
      </c>
      <c r="D25" s="18">
        <v>1</v>
      </c>
      <c r="E25" s="18">
        <v>3</v>
      </c>
      <c r="F25" s="18">
        <v>3</v>
      </c>
      <c r="G25" s="18">
        <v>4</v>
      </c>
    </row>
    <row r="26" spans="1:17" x14ac:dyDescent="0.25">
      <c r="A26" s="15" t="s">
        <v>33</v>
      </c>
      <c r="B26" s="15"/>
      <c r="C26" s="19">
        <v>1000</v>
      </c>
      <c r="D26" s="19">
        <f>C26*1.05</f>
        <v>1050</v>
      </c>
      <c r="E26" s="19">
        <f t="shared" ref="E26:G26" si="6">D26*1.05</f>
        <v>1102.5</v>
      </c>
      <c r="F26" s="19">
        <f t="shared" si="6"/>
        <v>1157.625</v>
      </c>
      <c r="G26" s="19">
        <f t="shared" si="6"/>
        <v>1215.5062500000001</v>
      </c>
    </row>
    <row r="27" spans="1:17" x14ac:dyDescent="0.25">
      <c r="A27" s="12" t="s">
        <v>34</v>
      </c>
      <c r="B27" s="12"/>
      <c r="C27" s="14">
        <f>C18*0.02</f>
        <v>0.39600000000000002</v>
      </c>
      <c r="D27" s="14">
        <f t="shared" ref="D27:G27" si="7">D18*0.02</f>
        <v>0.55079999999999996</v>
      </c>
      <c r="E27" s="14">
        <f t="shared" si="7"/>
        <v>0.70685599999999993</v>
      </c>
      <c r="F27" s="14">
        <f t="shared" si="7"/>
        <v>0.81519487999999996</v>
      </c>
      <c r="G27" s="14">
        <f t="shared" si="7"/>
        <v>0.96100834239999999</v>
      </c>
    </row>
    <row r="28" spans="1:17" x14ac:dyDescent="0.25">
      <c r="A28" s="12" t="s">
        <v>35</v>
      </c>
      <c r="B28" s="12"/>
      <c r="C28" s="13">
        <v>0</v>
      </c>
      <c r="D28" s="13">
        <v>0</v>
      </c>
      <c r="E28" s="13">
        <v>1</v>
      </c>
      <c r="F28" s="13">
        <v>0</v>
      </c>
      <c r="G28" s="13">
        <v>4</v>
      </c>
      <c r="H28" s="14"/>
    </row>
    <row r="29" spans="1:17" x14ac:dyDescent="0.25">
      <c r="A29" s="12" t="s">
        <v>36</v>
      </c>
      <c r="B29" s="12"/>
      <c r="C29" s="19">
        <v>4500</v>
      </c>
      <c r="D29" s="19">
        <f t="shared" ref="D29" si="8">C29*1.05</f>
        <v>4725</v>
      </c>
      <c r="E29" s="19">
        <f t="shared" ref="E29" si="9">D29*1.05</f>
        <v>4961.25</v>
      </c>
      <c r="F29" s="19">
        <f t="shared" ref="F29:G29" si="10">E29*1.05</f>
        <v>5209.3125</v>
      </c>
      <c r="G29" s="19">
        <f t="shared" si="10"/>
        <v>5469.7781249999998</v>
      </c>
    </row>
    <row r="30" spans="1:17" x14ac:dyDescent="0.25">
      <c r="A30" s="15" t="s">
        <v>37</v>
      </c>
      <c r="B30" s="15"/>
      <c r="C30" s="20">
        <f>((C16-C28)*12)+(C17*2)</f>
        <v>12</v>
      </c>
      <c r="D30" s="20">
        <f>((D16-D28)*12)+(D17*2)</f>
        <v>19.52</v>
      </c>
      <c r="E30" s="20">
        <f>((E16-E28)*12)+(E17*2)</f>
        <v>52.913599999999995</v>
      </c>
      <c r="F30" s="20">
        <f>((F16-F28)*12)+(F17*2)</f>
        <v>98.745127999999994</v>
      </c>
      <c r="G30" s="20">
        <f>((G16-G28)*12)+(G17*2)</f>
        <v>101.76132544000001</v>
      </c>
    </row>
    <row r="31" spans="1:17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</row>
    <row r="32" spans="1:17" x14ac:dyDescent="0.25">
      <c r="A32" s="11" t="s">
        <v>39</v>
      </c>
      <c r="B32" s="11"/>
      <c r="C32" s="19">
        <f>(C21*C22)+(C23*C24)+(C25*C26)+(C28*C29)+(C30*C31)</f>
        <v>420</v>
      </c>
      <c r="D32" s="19">
        <f t="shared" ref="D32:G32" si="11">(D21*D22)+(D23*D24)+(D25*D26)+(D28*D29)+(D30*D31)</f>
        <v>1733.1999999999998</v>
      </c>
      <c r="E32" s="19">
        <f t="shared" si="11"/>
        <v>10120.726000000001</v>
      </c>
      <c r="F32" s="19">
        <f t="shared" si="11"/>
        <v>6928.9544800000003</v>
      </c>
      <c r="G32" s="19">
        <f t="shared" si="11"/>
        <v>30302.783890400002</v>
      </c>
    </row>
    <row r="33" spans="1:8" x14ac:dyDescent="0.25">
      <c r="A33" s="15" t="s">
        <v>40</v>
      </c>
      <c r="B33" s="15"/>
      <c r="C33" s="19">
        <f t="shared" ref="C33:G33" si="12">C32/(C16+C11)</f>
        <v>38.18181818181818</v>
      </c>
      <c r="D33" s="19">
        <f t="shared" si="12"/>
        <v>157.85063752276864</v>
      </c>
      <c r="E33" s="19">
        <f t="shared" si="12"/>
        <v>735.36823902112951</v>
      </c>
      <c r="F33" s="19">
        <f t="shared" si="12"/>
        <v>398.904825484757</v>
      </c>
      <c r="G33" s="19">
        <f t="shared" si="12"/>
        <v>1350.1274830265895</v>
      </c>
    </row>
    <row r="34" spans="1:8" x14ac:dyDescent="0.25">
      <c r="C34" s="14"/>
    </row>
    <row r="35" spans="1:8" x14ac:dyDescent="0.25">
      <c r="A35" s="11" t="s">
        <v>41</v>
      </c>
      <c r="B35" s="11"/>
    </row>
    <row r="36" spans="1:8" x14ac:dyDescent="0.25">
      <c r="A36" s="15" t="s">
        <v>42</v>
      </c>
      <c r="B36" s="15"/>
      <c r="C36" s="19">
        <f>((C11+C12+C13)*200)</f>
        <v>2000</v>
      </c>
      <c r="D36" s="19">
        <f t="shared" ref="D36:G36" si="13">((D11+D12+D13)*200)</f>
        <v>2776</v>
      </c>
      <c r="E36" s="19">
        <f t="shared" si="13"/>
        <v>3351.9999999999995</v>
      </c>
      <c r="F36" s="19">
        <f t="shared" si="13"/>
        <v>3638.5799999999995</v>
      </c>
      <c r="G36" s="19">
        <f t="shared" si="13"/>
        <v>3993.4479999999994</v>
      </c>
    </row>
    <row r="37" spans="1:8" x14ac:dyDescent="0.25">
      <c r="A37" s="15" t="s">
        <v>43</v>
      </c>
      <c r="B37" s="22">
        <v>0.02</v>
      </c>
      <c r="C37" s="19">
        <f>D8*B37</f>
        <v>528</v>
      </c>
      <c r="D37" s="14">
        <f t="shared" ref="D37:G37" si="14">C37*1.05</f>
        <v>554.4</v>
      </c>
      <c r="E37" s="14">
        <f t="shared" si="14"/>
        <v>582.12</v>
      </c>
      <c r="F37" s="14">
        <f t="shared" si="14"/>
        <v>611.226</v>
      </c>
      <c r="G37" s="14">
        <f t="shared" si="14"/>
        <v>641.78730000000007</v>
      </c>
    </row>
    <row r="38" spans="1:8" x14ac:dyDescent="0.25">
      <c r="A38" s="12" t="s">
        <v>44</v>
      </c>
      <c r="B38" s="23">
        <v>0.02</v>
      </c>
      <c r="C38" s="19">
        <f>C8*B38</f>
        <v>800</v>
      </c>
      <c r="D38" s="14">
        <f t="shared" ref="D38:G38" si="15">C38*1.03</f>
        <v>824</v>
      </c>
      <c r="E38" s="14">
        <f t="shared" si="15"/>
        <v>848.72</v>
      </c>
      <c r="F38" s="14">
        <f t="shared" si="15"/>
        <v>874.1816</v>
      </c>
      <c r="G38" s="14">
        <f t="shared" si="15"/>
        <v>900.40704800000003</v>
      </c>
    </row>
    <row r="39" spans="1:8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2412</v>
      </c>
      <c r="D39" s="19">
        <f>((D11*15*180)+(D12*15*180)+(D17*20*180)+(D16*20*180)+(D13*15*180)+(D14*10*120))/2000*B39</f>
        <v>3874.32</v>
      </c>
      <c r="E39" s="19">
        <f>((E11*15*180)+(E12*15*180)+(E17*20*180)+(E16*20*180)+(E13*15*180)+(E14*10*120))/2000*B39</f>
        <v>5240.0447999999997</v>
      </c>
      <c r="F39" s="19">
        <f>((F11*15*180)+(F12*15*180)+(F17*20*180)+(F16*20*180)+(F13*15*180)+(F14*10*120))/2000*B39</f>
        <v>6231.3521040000005</v>
      </c>
      <c r="G39" s="19">
        <f>((G11*15*180)+(G12*15*180)+(G17*20*180)+(G16*20*180)+(G13*15*180)+(G14*10*120))/2000*B39</f>
        <v>7569.1383379199988</v>
      </c>
    </row>
    <row r="40" spans="1:8" x14ac:dyDescent="0.25">
      <c r="A40" s="15" t="s">
        <v>71</v>
      </c>
      <c r="B40" s="22">
        <v>120</v>
      </c>
      <c r="C40" s="24">
        <f>((C11*3*180)+(C12*3*180)+(C16*5*180)+(C17*5*180)+(C13*4*180)+(C14*3*120))*(B40/2000)</f>
        <v>550.79999999999995</v>
      </c>
      <c r="D40" s="24">
        <f>((D11*3*180)+(D12*3*180)+(D16*5*180)+(D17*5*180)+(D13*4*180)+(D14*3*120))*(B40/2000)</f>
        <v>926.85599999999999</v>
      </c>
      <c r="E40" s="24">
        <f>((E11*3*180)+(E12*3*180)+(E16*5*180)+(E17*5*180)+(E13*4*180)+(E14*3*120))*(B40/2000)</f>
        <v>1249.0632000000001</v>
      </c>
      <c r="F40" s="24">
        <f>((F11*3*180)+(F12*3*180)+(F16*5*180)+(F17*5*180)+(F13*4*180)+(F14*3*120))*(B40/2000)</f>
        <v>1493.7892559999998</v>
      </c>
      <c r="G40" s="24">
        <f>((G11*3*180)+(G12*3*180)+(G16*5*180)+(G17*5*180)+(G13*4*180)+(G14*3*120))*(B40/2000)</f>
        <v>1821.0808324799998</v>
      </c>
      <c r="H40" s="1" t="s">
        <v>47</v>
      </c>
    </row>
    <row r="41" spans="1:8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497.5</v>
      </c>
      <c r="D41" s="19">
        <f>((D11*0.5*365)+(D16*0.5*365)+(D17*0.5*365)+ (C12*0.5*365)+(D13*0.5*365)+(D14*0.5*120))*(B41/2000)</f>
        <v>780.01</v>
      </c>
      <c r="E41" s="19">
        <f>((E11*0.5*365)+(E16*0.5*365)+(E17*0.5*365)+ (D12*0.5*365)+(E13*0.5*365)+(E14*0.5*120))*(B41/2000)</f>
        <v>895.26220000000001</v>
      </c>
      <c r="F41" s="19">
        <f>((F11*0.5*365)+(F16*0.5*365)+(F17*0.5*365)+ (E12*0.5*365)+(F13*0.5*365)+(F14*0.5*120))*(B41/2000)</f>
        <v>1217.352656</v>
      </c>
      <c r="G41" s="19">
        <f>((G11*0.5*365)+(G16*0.5*365)+(G17*0.5*365)+ (F12*0.5*365)+(G13*0.5*365)+(G14*0.5*120))*(B41/2000)</f>
        <v>1439.2603498799999</v>
      </c>
      <c r="H41" s="1" t="s">
        <v>72</v>
      </c>
    </row>
    <row r="42" spans="1:8" x14ac:dyDescent="0.25">
      <c r="A42" s="15" t="s">
        <v>50</v>
      </c>
      <c r="B42" s="22">
        <v>15</v>
      </c>
      <c r="C42" s="19">
        <f>(C11+C16+C12+C17+C13+C14)*B42</f>
        <v>285</v>
      </c>
      <c r="D42" s="19">
        <f>(D11+D16+D12+D17+D13+D14)*B42</f>
        <v>401.09999999999997</v>
      </c>
      <c r="E42" s="19">
        <f>(E11+E16+E12+E17+E13+E14)*B42</f>
        <v>518.14200000000005</v>
      </c>
      <c r="F42" s="19">
        <f>(F11+F16+F12+F17+F13+F14)*B42</f>
        <v>599.3961599999999</v>
      </c>
      <c r="G42" s="19">
        <f>(G11+G16+G12+G17+G13+G14)*B42</f>
        <v>708.75625679999996</v>
      </c>
    </row>
    <row r="43" spans="1:8" x14ac:dyDescent="0.25">
      <c r="A43" s="15" t="s">
        <v>51</v>
      </c>
      <c r="B43" s="22">
        <v>10</v>
      </c>
      <c r="C43" s="19">
        <f>(C11+C16+C12+C17+C13+C14)*B43</f>
        <v>190</v>
      </c>
      <c r="D43" s="19">
        <f>(D11+D16+D12+D17+D13+D14)*B43</f>
        <v>267.39999999999998</v>
      </c>
      <c r="E43" s="19">
        <f>(E11+E16+E12+E17+E13+E14)*B43</f>
        <v>345.428</v>
      </c>
      <c r="F43" s="19">
        <f>(F11+F16+F12+F17+F13+F14)*B43</f>
        <v>399.59743999999995</v>
      </c>
      <c r="G43" s="19">
        <f>(G11+G16+G12+G17+G13+G14)*B43</f>
        <v>472.50417119999997</v>
      </c>
    </row>
    <row r="44" spans="1:8" x14ac:dyDescent="0.25">
      <c r="A44" s="15" t="s">
        <v>52</v>
      </c>
      <c r="B44" s="22">
        <v>40</v>
      </c>
      <c r="C44" s="19">
        <f>(C11+C16+C12+C17+C13+C14)*B44</f>
        <v>760</v>
      </c>
      <c r="D44" s="19">
        <f>(D11+D16+D12+D17+D13+D14)*B44</f>
        <v>1069.5999999999999</v>
      </c>
      <c r="E44" s="19">
        <f>(E11+E16+E12+E17+E13+E14)*B44</f>
        <v>1381.712</v>
      </c>
      <c r="F44" s="19">
        <f>(F11+F16+F12+F17+F13+F14)*B44</f>
        <v>1598.3897599999998</v>
      </c>
      <c r="G44" s="19">
        <f>(G11+G16+G12+G17+G13+G14)*B44</f>
        <v>1890.0166847999999</v>
      </c>
    </row>
    <row r="45" spans="1:8" x14ac:dyDescent="0.25">
      <c r="A45" s="15" t="s">
        <v>53</v>
      </c>
      <c r="B45" s="22">
        <v>30</v>
      </c>
      <c r="C45" s="19">
        <f>(C11+C16+C12+C17+C13+C14)*B45</f>
        <v>570</v>
      </c>
      <c r="D45" s="19">
        <f>(D11+D16+D12+D17+D13+D14)*B45</f>
        <v>802.19999999999993</v>
      </c>
      <c r="E45" s="19">
        <f>(E11+E16+E12+E17+E13+E14)*B45</f>
        <v>1036.2840000000001</v>
      </c>
      <c r="F45" s="19">
        <f>(F11+F16+F12+F17+F13+F14)*B45</f>
        <v>1198.7923199999998</v>
      </c>
      <c r="G45" s="19">
        <f>(G11+G16+G12+G17+G13+G14)*B45</f>
        <v>1417.5125135999999</v>
      </c>
    </row>
    <row r="46" spans="1:8" x14ac:dyDescent="0.25">
      <c r="A46" s="11" t="s">
        <v>54</v>
      </c>
      <c r="B46" s="11"/>
      <c r="C46" s="19">
        <f>SUM(C36:C45)</f>
        <v>8593.2999999999993</v>
      </c>
      <c r="D46" s="19">
        <f t="shared" ref="D46:G46" si="16">SUM(D36:D45)</f>
        <v>12275.886</v>
      </c>
      <c r="E46" s="19">
        <f t="shared" si="16"/>
        <v>15448.776199999998</v>
      </c>
      <c r="F46" s="19">
        <f t="shared" si="16"/>
        <v>17862.657296000001</v>
      </c>
      <c r="G46" s="19">
        <f t="shared" si="16"/>
        <v>20853.911494679996</v>
      </c>
    </row>
    <row r="47" spans="1:8" x14ac:dyDescent="0.25">
      <c r="A47" s="15" t="s">
        <v>55</v>
      </c>
      <c r="B47" s="15"/>
      <c r="C47" s="19">
        <f>C46/(C11+C16+C13+C14)</f>
        <v>452.27894736842103</v>
      </c>
      <c r="D47" s="19">
        <f>D46/(D11+D16+D13+D14)</f>
        <v>537.00288713910766</v>
      </c>
      <c r="E47" s="19">
        <f>E46/(E11+E16+E13+E14)</f>
        <v>576.81706916379164</v>
      </c>
      <c r="F47" s="19">
        <f>F46/(F11+F16+F13+F14)</f>
        <v>564.43724044015266</v>
      </c>
      <c r="G47" s="19">
        <f>G46/(G11+G16+G13+G14)</f>
        <v>548.16429839443435</v>
      </c>
    </row>
    <row r="48" spans="1:8" x14ac:dyDescent="0.25">
      <c r="C48" s="14"/>
      <c r="D48" s="14"/>
      <c r="E48" s="14"/>
      <c r="F48" s="14"/>
      <c r="G48" s="14"/>
    </row>
    <row r="49" spans="1:13" x14ac:dyDescent="0.25">
      <c r="A49" s="11" t="s">
        <v>56</v>
      </c>
      <c r="B49" s="11"/>
      <c r="C49" s="19">
        <f>C32-C46</f>
        <v>-8173.2999999999993</v>
      </c>
      <c r="D49" s="14">
        <f t="shared" ref="D49:G49" si="17">D32-D46</f>
        <v>-10542.686000000002</v>
      </c>
      <c r="E49" s="14">
        <f t="shared" si="17"/>
        <v>-5328.0501999999979</v>
      </c>
      <c r="F49" s="14">
        <f t="shared" si="17"/>
        <v>-10933.702816000001</v>
      </c>
      <c r="G49" s="14">
        <f t="shared" si="17"/>
        <v>9448.8723957200054</v>
      </c>
    </row>
    <row r="50" spans="1:13" x14ac:dyDescent="0.25">
      <c r="A50" s="15" t="s">
        <v>57</v>
      </c>
      <c r="B50" s="15"/>
      <c r="C50" s="19">
        <f>C49/(C16+C11)</f>
        <v>-743.0272727272727</v>
      </c>
      <c r="D50" s="14">
        <f>D49/(D16+D11)</f>
        <v>-960.17176684881611</v>
      </c>
      <c r="E50" s="14">
        <f>E49/(E16+E11)</f>
        <v>-387.1341732786932</v>
      </c>
      <c r="F50" s="14">
        <f>F49/(F16+F11)</f>
        <v>-629.46102854447906</v>
      </c>
      <c r="G50" s="14">
        <f>G49/(G16+G11)</f>
        <v>420.99043940033442</v>
      </c>
    </row>
    <row r="51" spans="1:13" x14ac:dyDescent="0.25">
      <c r="A51" s="16" t="s">
        <v>58</v>
      </c>
      <c r="B51" s="16"/>
      <c r="C51" s="17">
        <f>(C49/(((C11+C13)*C26)+(C16*C29)+(((C14*0.5)-C21)*C22)+D8))*100</f>
        <v>-18.789195402298851</v>
      </c>
      <c r="D51" s="17">
        <f>(D49/(((D11+D13)*D26)+(D16*D29)+(((D14*0.5)-D21)*D22)+E8))*100</f>
        <v>-22.487465472191122</v>
      </c>
      <c r="E51" s="17">
        <f>(E49/(((E11+E13)*E26)+(E16*E29)+(((E14*0.5)-E21)*E22)+F8))*100</f>
        <v>-13.001255108308307</v>
      </c>
      <c r="F51" s="17">
        <f>(F49/(((F11+F13)*F26)+(F16*F29)+(((F14*0.5)-F21)*F22)+G8))*100</f>
        <v>-18.505856962392471</v>
      </c>
      <c r="G51" s="17">
        <f>(G49/(((G11+G13)*G26)+(G16*G29)+(((G14*0.5)-G21)*G22)+H8))*100</f>
        <v>10.891749011581801</v>
      </c>
      <c r="H51" s="27">
        <f>SUM(C51:G51)/5</f>
        <v>-12.37840478672179</v>
      </c>
    </row>
    <row r="52" spans="1:13" x14ac:dyDescent="0.25">
      <c r="C52" s="14"/>
      <c r="D52" s="14"/>
      <c r="E52" s="14"/>
      <c r="F52" s="14"/>
      <c r="G52" s="14"/>
      <c r="I52" s="14"/>
      <c r="J52" s="14"/>
      <c r="K52" s="14"/>
      <c r="L52" s="14"/>
    </row>
    <row r="53" spans="1:13" x14ac:dyDescent="0.25">
      <c r="A53" s="5" t="s">
        <v>88</v>
      </c>
      <c r="C53" s="26">
        <f>(C32-C46)/A8*100</f>
        <v>-8.9423413566739587</v>
      </c>
      <c r="D53" s="26">
        <f>((D32-D46))/A8*100</f>
        <v>-11.534667396061272</v>
      </c>
      <c r="E53" s="26">
        <f>((E32-E46))/A8*100</f>
        <v>-5.8293765864332583</v>
      </c>
      <c r="F53" s="26">
        <f>((F32-F46))/A8*100</f>
        <v>-11.962475728665209</v>
      </c>
      <c r="G53" s="26">
        <f>((G32-G46))/A8*100</f>
        <v>10.337934787439831</v>
      </c>
      <c r="H53" s="26">
        <f>SUM(C53:G53)/5</f>
        <v>-5.5861852560787728</v>
      </c>
      <c r="I53" s="26"/>
      <c r="J53" s="26"/>
      <c r="K53" s="26"/>
      <c r="L53" s="26"/>
      <c r="M53" s="30"/>
    </row>
    <row r="54" spans="1:13" x14ac:dyDescent="0.25">
      <c r="C54" s="14"/>
      <c r="D54" s="14"/>
      <c r="E54" s="14"/>
      <c r="F54" s="14"/>
      <c r="G54" s="14"/>
      <c r="I54" s="14"/>
      <c r="J54" s="14"/>
      <c r="K54" s="14"/>
      <c r="L54" s="14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G19</f>
        <v>86521.033828474669</v>
      </c>
      <c r="C56" s="29"/>
    </row>
    <row r="57" spans="1:13" x14ac:dyDescent="0.25">
      <c r="A57" s="1" t="s">
        <v>61</v>
      </c>
      <c r="B57" s="34">
        <f>(C8+D8)*0.5</f>
        <v>33200</v>
      </c>
      <c r="C57" s="29">
        <v>0.5</v>
      </c>
    </row>
    <row r="58" spans="1:13" x14ac:dyDescent="0.25">
      <c r="A58" s="5" t="s">
        <v>62</v>
      </c>
      <c r="B58" s="33">
        <f>SUM(B56:B57)</f>
        <v>119721.03382847467</v>
      </c>
      <c r="D58" s="1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K15" sqref="K15"/>
    </sheetView>
  </sheetViews>
  <sheetFormatPr defaultColWidth="11.42578125" defaultRowHeight="15.75" x14ac:dyDescent="0.25"/>
  <cols>
    <col min="1" max="1" width="26.42578125" style="1" customWidth="1"/>
    <col min="2" max="2" width="15.7109375" style="1" customWidth="1"/>
    <col min="3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2" width="13.140625" style="1" customWidth="1"/>
    <col min="13" max="13" width="12.7109375" style="1" customWidth="1"/>
    <col min="14" max="14" width="13" style="1" customWidth="1"/>
    <col min="15" max="23" width="10.7109375" style="1" customWidth="1"/>
    <col min="24" max="16384" width="11.42578125" style="1"/>
  </cols>
  <sheetData>
    <row r="1" spans="1:13" ht="23.25" x14ac:dyDescent="0.35">
      <c r="E1" s="2" t="s">
        <v>63</v>
      </c>
    </row>
    <row r="2" spans="1:13" ht="23.25" x14ac:dyDescent="0.35">
      <c r="E2" s="2"/>
      <c r="I2" s="3" t="s">
        <v>64</v>
      </c>
    </row>
    <row r="3" spans="1:13" ht="18.75" x14ac:dyDescent="0.3">
      <c r="A3" s="4" t="s">
        <v>81</v>
      </c>
      <c r="B3" s="4"/>
      <c r="I3" s="1" t="s">
        <v>2</v>
      </c>
    </row>
    <row r="4" spans="1:13" x14ac:dyDescent="0.25">
      <c r="A4" s="5"/>
      <c r="B4" s="5"/>
      <c r="I4" s="1" t="s">
        <v>4</v>
      </c>
      <c r="L4" s="6"/>
      <c r="M4" s="6"/>
    </row>
    <row r="5" spans="1:13" x14ac:dyDescent="0.25">
      <c r="A5" s="5" t="s">
        <v>6</v>
      </c>
      <c r="B5" s="5"/>
      <c r="I5" s="1" t="s">
        <v>82</v>
      </c>
    </row>
    <row r="6" spans="1:13" x14ac:dyDescent="0.25">
      <c r="I6" s="1" t="s">
        <v>7</v>
      </c>
      <c r="J6" s="6"/>
    </row>
    <row r="7" spans="1:13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I7" s="1" t="s">
        <v>8</v>
      </c>
      <c r="J7" s="7"/>
      <c r="L7" s="7"/>
    </row>
    <row r="8" spans="1:13" s="5" customFormat="1" x14ac:dyDescent="0.25">
      <c r="A8" s="32">
        <f>SUM(C8:G8)</f>
        <v>111400</v>
      </c>
      <c r="B8" s="32"/>
      <c r="C8" s="35">
        <v>40000</v>
      </c>
      <c r="D8" s="35">
        <v>26400</v>
      </c>
      <c r="E8" s="33">
        <v>45000</v>
      </c>
      <c r="I8" s="1" t="s">
        <v>13</v>
      </c>
      <c r="J8" s="7"/>
      <c r="K8" s="9"/>
      <c r="L8" s="10"/>
    </row>
    <row r="9" spans="1:13" s="5" customFormat="1" x14ac:dyDescent="0.25">
      <c r="A9" s="7"/>
      <c r="B9" s="7"/>
      <c r="D9" s="8"/>
      <c r="F9" s="8"/>
      <c r="I9" s="1" t="s">
        <v>14</v>
      </c>
      <c r="J9" s="7"/>
      <c r="K9" s="9"/>
      <c r="L9" s="10"/>
    </row>
    <row r="10" spans="1:13" x14ac:dyDescent="0.25">
      <c r="A10" s="11" t="s">
        <v>16</v>
      </c>
      <c r="B10" s="11"/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I10" s="1" t="s">
        <v>83</v>
      </c>
    </row>
    <row r="11" spans="1:13" x14ac:dyDescent="0.25">
      <c r="A11" s="12" t="s">
        <v>18</v>
      </c>
      <c r="B11" s="12"/>
      <c r="C11" s="13">
        <v>10</v>
      </c>
      <c r="D11" s="14">
        <f>(C11+C12)-C25</f>
        <v>10</v>
      </c>
      <c r="E11" s="14">
        <f>(D11+D12)-D25</f>
        <v>9</v>
      </c>
      <c r="F11" s="14">
        <f>(E11+E12)-E25</f>
        <v>8.879999999999999</v>
      </c>
      <c r="G11" s="14">
        <f>(F11+F12)-F25</f>
        <v>8.759999999999998</v>
      </c>
      <c r="I11" s="5" t="s">
        <v>15</v>
      </c>
    </row>
    <row r="12" spans="1:13" x14ac:dyDescent="0.25">
      <c r="A12" s="12" t="s">
        <v>19</v>
      </c>
      <c r="B12" s="12"/>
      <c r="C12" s="13">
        <v>0</v>
      </c>
      <c r="D12" s="14">
        <f t="shared" ref="D12:G12" si="0">C13</f>
        <v>0</v>
      </c>
      <c r="E12" s="14">
        <f t="shared" si="0"/>
        <v>3.88</v>
      </c>
      <c r="F12" s="14">
        <f t="shared" si="0"/>
        <v>3.88</v>
      </c>
      <c r="G12" s="14">
        <f t="shared" si="0"/>
        <v>4.4329000000000001</v>
      </c>
    </row>
    <row r="13" spans="1:13" x14ac:dyDescent="0.25">
      <c r="A13" s="12" t="s">
        <v>20</v>
      </c>
      <c r="B13" s="12"/>
      <c r="C13" s="13">
        <v>0</v>
      </c>
      <c r="D13" s="14">
        <f t="shared" ref="D13:G13" si="1">(C14*0.5)*0.97</f>
        <v>3.88</v>
      </c>
      <c r="E13" s="14">
        <f t="shared" si="1"/>
        <v>3.88</v>
      </c>
      <c r="F13" s="14">
        <f t="shared" si="1"/>
        <v>4.4329000000000001</v>
      </c>
      <c r="G13" s="14">
        <f t="shared" si="1"/>
        <v>4.3863399999999997</v>
      </c>
    </row>
    <row r="14" spans="1:13" x14ac:dyDescent="0.25">
      <c r="A14" s="15" t="s">
        <v>21</v>
      </c>
      <c r="B14" s="15"/>
      <c r="C14" s="14">
        <f t="shared" ref="C14:G14" si="2">((C11*C15)+(C12*0.5))</f>
        <v>8</v>
      </c>
      <c r="D14" s="14">
        <f t="shared" si="2"/>
        <v>8</v>
      </c>
      <c r="E14" s="14">
        <f t="shared" si="2"/>
        <v>9.14</v>
      </c>
      <c r="F14" s="14">
        <f t="shared" si="2"/>
        <v>9.0439999999999987</v>
      </c>
      <c r="G14" s="14">
        <f t="shared" si="2"/>
        <v>9.2244499999999992</v>
      </c>
    </row>
    <row r="15" spans="1:13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</row>
    <row r="16" spans="1:13" x14ac:dyDescent="0.25">
      <c r="A16" s="15" t="s">
        <v>23</v>
      </c>
      <c r="B16" s="15"/>
      <c r="C16" s="18">
        <v>7</v>
      </c>
      <c r="D16" s="14">
        <f>((C16+C17)-(C23+C28))*0.98</f>
        <v>9.8000000000000007</v>
      </c>
      <c r="E16" s="14">
        <f>((D16+D17)-(D23+D28))*0.98</f>
        <v>11.446399999999999</v>
      </c>
      <c r="F16" s="14">
        <f>((E16+E17)-(E23+E28))*0.98</f>
        <v>11.099872</v>
      </c>
      <c r="G16" s="14">
        <f>((F16+F17)-(F23+F28))*0.98</f>
        <v>12.282116559999999</v>
      </c>
    </row>
    <row r="17" spans="1:17" x14ac:dyDescent="0.25">
      <c r="A17" s="12" t="s">
        <v>24</v>
      </c>
      <c r="B17" s="12"/>
      <c r="C17" s="13">
        <v>3</v>
      </c>
      <c r="D17" s="14">
        <f>(C14*0.5)*0.97</f>
        <v>3.88</v>
      </c>
      <c r="E17" s="14">
        <f>(D14*0.5)*0.97</f>
        <v>3.88</v>
      </c>
      <c r="F17" s="14">
        <f>(E14*0.5)*0.97</f>
        <v>4.4329000000000001</v>
      </c>
      <c r="G17" s="14">
        <f>(F14*0.5)*0.97</f>
        <v>4.3863399999999997</v>
      </c>
    </row>
    <row r="18" spans="1:17" x14ac:dyDescent="0.25">
      <c r="A18" s="15" t="s">
        <v>25</v>
      </c>
      <c r="B18" s="15"/>
      <c r="C18" s="14">
        <f t="shared" ref="C18:G18" si="3">SUM(C11:C17)</f>
        <v>28.8</v>
      </c>
      <c r="D18" s="14">
        <f t="shared" si="3"/>
        <v>36.360000000000007</v>
      </c>
      <c r="E18" s="14">
        <f t="shared" si="3"/>
        <v>42.026400000000002</v>
      </c>
      <c r="F18" s="14">
        <f t="shared" si="3"/>
        <v>42.569671999999997</v>
      </c>
      <c r="G18" s="14">
        <f t="shared" si="3"/>
        <v>44.272146559999989</v>
      </c>
    </row>
    <row r="19" spans="1:17" x14ac:dyDescent="0.25">
      <c r="A19" s="15" t="s">
        <v>26</v>
      </c>
      <c r="B19" s="15"/>
      <c r="C19" s="19">
        <f>SUM(C11*C26)+((C16*0.25)*C24)+(C16*0.75*C29)+(C13*C22)+(C14*C22)+(C12*0.85*C26)+(C17*1000)</f>
        <v>45450</v>
      </c>
      <c r="D19" s="19">
        <f>SUM(D11*D26)+((D16*0.25)*D24)+(D16*0.75*D29)+(D13*D22)+(D14*D22)+(D12*0.85*D26)+(D17*1000)</f>
        <v>62154.91</v>
      </c>
      <c r="E19" s="19">
        <f>SUM(E11*E26)+((E16*0.25)*E24)+(E16*0.75*E29)+(E13*E22)+(E14*E22)+(E12*0.85*E26)+(E17*1000)</f>
        <v>75557.939199999993</v>
      </c>
      <c r="F19" s="19">
        <f>SUM(F11*F26)+((F16*0.25)*F24)+(F16*0.75*F29)+(F13*F22)+(F14*F22)+(F12*0.85*F26)+(F17*1000)</f>
        <v>78419.735184594989</v>
      </c>
      <c r="G19" s="19">
        <f>SUM(G11*G26)+((G16*0.25)*G24)+(G16*0.75*G29)+(G13*G22)+(G14*G22)+(G12*0.85*G26)+(G17*1000)</f>
        <v>88223.015306700487</v>
      </c>
    </row>
    <row r="20" spans="1:17" x14ac:dyDescent="0.25">
      <c r="A20" s="11" t="s">
        <v>27</v>
      </c>
      <c r="B20" s="11"/>
    </row>
    <row r="21" spans="1:17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17" x14ac:dyDescent="0.25">
      <c r="A22" s="15" t="s">
        <v>29</v>
      </c>
      <c r="B22" s="15"/>
      <c r="C22" s="19">
        <v>650</v>
      </c>
      <c r="D22" s="19">
        <f>C22*1.03</f>
        <v>669.5</v>
      </c>
      <c r="E22" s="19">
        <f t="shared" ref="E22:G22" si="4">D22*1.03</f>
        <v>689.58500000000004</v>
      </c>
      <c r="F22" s="19">
        <f t="shared" si="4"/>
        <v>710.27255000000002</v>
      </c>
      <c r="G22" s="19">
        <f t="shared" si="4"/>
        <v>731.58072650000008</v>
      </c>
    </row>
    <row r="23" spans="1:17" x14ac:dyDescent="0.25">
      <c r="A23" s="12" t="s">
        <v>30</v>
      </c>
      <c r="B23" s="12"/>
      <c r="C23" s="13">
        <v>0</v>
      </c>
      <c r="D23" s="13">
        <v>2</v>
      </c>
      <c r="E23" s="13">
        <v>4</v>
      </c>
      <c r="F23" s="13">
        <v>3</v>
      </c>
      <c r="G23" s="13">
        <v>4</v>
      </c>
    </row>
    <row r="24" spans="1:17" x14ac:dyDescent="0.25">
      <c r="A24" s="12" t="s">
        <v>31</v>
      </c>
      <c r="B24" s="12"/>
      <c r="C24" s="19">
        <v>1500</v>
      </c>
      <c r="D24" s="19">
        <f>C24*1.1</f>
        <v>1650.0000000000002</v>
      </c>
      <c r="E24" s="19">
        <f t="shared" ref="E24:G24" si="5">D24*1.1</f>
        <v>1815.0000000000005</v>
      </c>
      <c r="F24" s="19">
        <f t="shared" si="5"/>
        <v>1996.5000000000007</v>
      </c>
      <c r="G24" s="19">
        <f t="shared" si="5"/>
        <v>2196.150000000001</v>
      </c>
      <c r="Q24" s="14"/>
    </row>
    <row r="25" spans="1:17" x14ac:dyDescent="0.25">
      <c r="A25" s="15" t="s">
        <v>32</v>
      </c>
      <c r="B25" s="15"/>
      <c r="C25" s="18">
        <v>0</v>
      </c>
      <c r="D25" s="18">
        <v>1</v>
      </c>
      <c r="E25" s="18">
        <v>4</v>
      </c>
      <c r="F25" s="18">
        <v>4</v>
      </c>
      <c r="G25" s="18">
        <v>4</v>
      </c>
    </row>
    <row r="26" spans="1:17" x14ac:dyDescent="0.25">
      <c r="A26" s="15" t="s">
        <v>33</v>
      </c>
      <c r="B26" s="15"/>
      <c r="C26" s="19">
        <v>1100</v>
      </c>
      <c r="D26" s="19">
        <f>C26*1.05</f>
        <v>1155</v>
      </c>
      <c r="E26" s="19">
        <f t="shared" ref="E26:G26" si="6">D26*1.05</f>
        <v>1212.75</v>
      </c>
      <c r="F26" s="19">
        <f t="shared" si="6"/>
        <v>1273.3875</v>
      </c>
      <c r="G26" s="19">
        <f t="shared" si="6"/>
        <v>1337.056875</v>
      </c>
    </row>
    <row r="27" spans="1:17" x14ac:dyDescent="0.25">
      <c r="A27" s="12" t="s">
        <v>34</v>
      </c>
      <c r="B27" s="12"/>
      <c r="C27" s="14">
        <f>C18*0.02</f>
        <v>0.57600000000000007</v>
      </c>
      <c r="D27" s="14">
        <f t="shared" ref="D27:G27" si="7">D18*0.02</f>
        <v>0.72720000000000018</v>
      </c>
      <c r="E27" s="14">
        <f t="shared" si="7"/>
        <v>0.84052800000000005</v>
      </c>
      <c r="F27" s="14">
        <f t="shared" si="7"/>
        <v>0.85139343999999995</v>
      </c>
      <c r="G27" s="14">
        <f t="shared" si="7"/>
        <v>0.88544293119999984</v>
      </c>
    </row>
    <row r="28" spans="1:17" x14ac:dyDescent="0.25">
      <c r="A28" s="12" t="s">
        <v>35</v>
      </c>
      <c r="B28" s="12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4"/>
    </row>
    <row r="29" spans="1:17" x14ac:dyDescent="0.25">
      <c r="A29" s="12" t="s">
        <v>36</v>
      </c>
      <c r="B29" s="12"/>
      <c r="C29" s="19">
        <v>4500</v>
      </c>
      <c r="D29" s="19">
        <f t="shared" ref="D29:G29" si="8">C29*1.05</f>
        <v>4725</v>
      </c>
      <c r="E29" s="19">
        <f t="shared" si="8"/>
        <v>4961.25</v>
      </c>
      <c r="F29" s="19">
        <f t="shared" si="8"/>
        <v>5209.3125</v>
      </c>
      <c r="G29" s="19">
        <f t="shared" si="8"/>
        <v>5469.7781249999998</v>
      </c>
    </row>
    <row r="30" spans="1:17" x14ac:dyDescent="0.25">
      <c r="A30" s="15" t="s">
        <v>37</v>
      </c>
      <c r="B30" s="15"/>
      <c r="C30" s="20">
        <f>((C16-C28)*25)+(C17*4)</f>
        <v>187</v>
      </c>
      <c r="D30" s="20">
        <f t="shared" ref="D30:G30" si="9">((D16-D28)*25)+(D17*4)</f>
        <v>260.52000000000004</v>
      </c>
      <c r="E30" s="20">
        <f t="shared" si="9"/>
        <v>301.67999999999995</v>
      </c>
      <c r="F30" s="20">
        <f t="shared" si="9"/>
        <v>295.22840000000002</v>
      </c>
      <c r="G30" s="20">
        <f t="shared" si="9"/>
        <v>324.598274</v>
      </c>
    </row>
    <row r="31" spans="1:17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</row>
    <row r="32" spans="1:17" x14ac:dyDescent="0.25">
      <c r="A32" s="11" t="s">
        <v>39</v>
      </c>
      <c r="B32" s="11"/>
      <c r="C32" s="19">
        <f>(C21*C22)+(C23*C24)+(C25*C26)+(C28*C29)+(C30*C31)</f>
        <v>6545</v>
      </c>
      <c r="D32" s="19">
        <f t="shared" ref="D32:G32" si="10">(D21*D22)+(D23*D24)+(D25*D26)+(D28*D29)+(D30*D31)</f>
        <v>13573.2</v>
      </c>
      <c r="E32" s="19">
        <f t="shared" si="10"/>
        <v>22669.8</v>
      </c>
      <c r="F32" s="19">
        <f t="shared" si="10"/>
        <v>21416.044000000002</v>
      </c>
      <c r="G32" s="19">
        <f t="shared" si="10"/>
        <v>25493.767090000001</v>
      </c>
    </row>
    <row r="33" spans="1:8" x14ac:dyDescent="0.25">
      <c r="A33" s="15" t="s">
        <v>40</v>
      </c>
      <c r="B33" s="15"/>
      <c r="C33" s="19">
        <f t="shared" ref="C33:G33" si="11">C32/(C16+C11)</f>
        <v>385</v>
      </c>
      <c r="D33" s="19">
        <f t="shared" si="11"/>
        <v>685.5151515151515</v>
      </c>
      <c r="E33" s="19">
        <f t="shared" si="11"/>
        <v>1108.7428593786683</v>
      </c>
      <c r="F33" s="19">
        <f t="shared" si="11"/>
        <v>1071.8809409790013</v>
      </c>
      <c r="G33" s="19">
        <f t="shared" si="11"/>
        <v>1211.5590661854981</v>
      </c>
    </row>
    <row r="34" spans="1:8" x14ac:dyDescent="0.25">
      <c r="C34" s="14"/>
    </row>
    <row r="35" spans="1:8" x14ac:dyDescent="0.25">
      <c r="A35" s="11" t="s">
        <v>41</v>
      </c>
      <c r="B35" s="11"/>
    </row>
    <row r="36" spans="1:8" x14ac:dyDescent="0.25">
      <c r="A36" s="15" t="s">
        <v>42</v>
      </c>
      <c r="B36" s="15"/>
      <c r="C36" s="19">
        <f>((C11+C12+C13)*200)</f>
        <v>2000</v>
      </c>
      <c r="D36" s="19">
        <f t="shared" ref="D36:G36" si="12">((D11+D12+D13)*200)</f>
        <v>2776</v>
      </c>
      <c r="E36" s="19">
        <f t="shared" si="12"/>
        <v>3351.9999999999995</v>
      </c>
      <c r="F36" s="19">
        <f t="shared" si="12"/>
        <v>3438.5799999999995</v>
      </c>
      <c r="G36" s="19">
        <f t="shared" si="12"/>
        <v>3515.848</v>
      </c>
    </row>
    <row r="37" spans="1:8" x14ac:dyDescent="0.25">
      <c r="A37" s="15" t="s">
        <v>43</v>
      </c>
      <c r="B37" s="22">
        <v>0.02</v>
      </c>
      <c r="C37" s="19">
        <f>D8*B37</f>
        <v>528</v>
      </c>
      <c r="D37" s="14">
        <f t="shared" ref="D37:G37" si="13">C37*1.05</f>
        <v>554.4</v>
      </c>
      <c r="E37" s="14">
        <f t="shared" si="13"/>
        <v>582.12</v>
      </c>
      <c r="F37" s="14">
        <f t="shared" si="13"/>
        <v>611.226</v>
      </c>
      <c r="G37" s="14">
        <f t="shared" si="13"/>
        <v>641.78730000000007</v>
      </c>
    </row>
    <row r="38" spans="1:8" x14ac:dyDescent="0.25">
      <c r="A38" s="12" t="s">
        <v>44</v>
      </c>
      <c r="B38" s="23">
        <v>0.02</v>
      </c>
      <c r="C38" s="19">
        <f>C8*B38</f>
        <v>800</v>
      </c>
      <c r="D38" s="14">
        <f t="shared" ref="D38:G38" si="14">C38*1.03</f>
        <v>824</v>
      </c>
      <c r="E38" s="14">
        <f t="shared" si="14"/>
        <v>848.72</v>
      </c>
      <c r="F38" s="14">
        <f t="shared" si="14"/>
        <v>874.1816</v>
      </c>
      <c r="G38" s="14">
        <f t="shared" si="14"/>
        <v>900.40704800000003</v>
      </c>
    </row>
    <row r="39" spans="1:8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4356</v>
      </c>
      <c r="D39" s="19">
        <f>((D11*15*180)+(D12*15*180)+(D17*20*180)+(D16*20*180)+(D13*15*180)+(D14*10*120))/2000*B39</f>
        <v>5779.44</v>
      </c>
      <c r="E39" s="19">
        <f>((E11*15*180)+(E12*15*180)+(E17*20*180)+(E16*20*180)+(E13*15*180)+(E14*10*120))/2000*B39</f>
        <v>6683.7024000000001</v>
      </c>
      <c r="F39" s="19">
        <f>((F11*15*180)+(F12*15*180)+(F17*20*180)+(F16*20*180)+(F13*15*180)+(F14*10*120))/2000*B39</f>
        <v>6791.4965520000005</v>
      </c>
      <c r="G39" s="19">
        <f>((G11*15*180)+(G12*15*180)+(G17*20*180)+(G16*20*180)+(G13*15*180)+(G14*10*120))/2000*B39</f>
        <v>7112.3838969599992</v>
      </c>
    </row>
    <row r="40" spans="1:8" x14ac:dyDescent="0.25">
      <c r="A40" s="15" t="s">
        <v>71</v>
      </c>
      <c r="B40" s="22">
        <v>120</v>
      </c>
      <c r="C40" s="24">
        <f>((C11*3*180)+(C12*3*180)+(C16*5*180)+(C17*5*180)+(C13*4*180)+(C14*3*120))*(B40/2000)</f>
        <v>1036.8</v>
      </c>
      <c r="D40" s="24">
        <f>((D11*3*180)+(D12*3*180)+(D16*5*180)+(D17*5*180)+(D13*4*180)+(D14*3*120))*(B40/2000)</f>
        <v>1403.136</v>
      </c>
      <c r="E40" s="24">
        <f>((E11*3*180)+(E12*3*180)+(E16*5*180)+(E17*5*180)+(E13*4*180)+(E14*3*120))*(B40/2000)</f>
        <v>1609.9775999999999</v>
      </c>
      <c r="F40" s="24">
        <f>((F11*3*180)+(F12*3*180)+(F16*5*180)+(F17*5*180)+(F13*4*180)+(F14*3*120))*(B40/2000)</f>
        <v>1639.0453680000003</v>
      </c>
      <c r="G40" s="24">
        <f>((G11*3*180)+(G12*3*180)+(G16*5*180)+(G17*5*180)+(G13*4*180)+(G14*3*120))*(B40/2000)</f>
        <v>1716.2846222399996</v>
      </c>
      <c r="H40" s="1" t="s">
        <v>47</v>
      </c>
    </row>
    <row r="41" spans="1:8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826</v>
      </c>
      <c r="D41" s="19">
        <f>((D11*0.5*365)+(D16*0.5*365)+(D17*0.5*365)+ (C12*0.5*365)+(D13*0.5*365)+(D14*0.5*120))*(B41/2000)</f>
        <v>1101.9400000000003</v>
      </c>
      <c r="E41" s="19">
        <f>((E11*0.5*365)+(E16*0.5*365)+(E17*0.5*365)+ (D12*0.5*365)+(E13*0.5*365)+(E14*0.5*120))*(B41/2000)</f>
        <v>1139.2136000000003</v>
      </c>
      <c r="F41" s="19">
        <f>((F11*0.5*365)+(F16*0.5*365)+(F17*0.5*365)+ (E12*0.5*365)+(F13*0.5*365)+(F14*0.5*120))*(B41/2000)</f>
        <v>1303.0150279999998</v>
      </c>
      <c r="G41" s="19">
        <f>((G11*0.5*365)+(G16*0.5*365)+(G17*0.5*365)+ (F12*0.5*365)+(G13*0.5*365)+(G14*0.5*120))*(B41/2000)</f>
        <v>1340.5534744400002</v>
      </c>
      <c r="H41" s="1" t="s">
        <v>72</v>
      </c>
    </row>
    <row r="42" spans="1:8" x14ac:dyDescent="0.25">
      <c r="A42" s="15" t="s">
        <v>50</v>
      </c>
      <c r="B42" s="22">
        <v>15</v>
      </c>
      <c r="C42" s="19">
        <f>(C11+C16+C12+C17+C13+C14)*B42</f>
        <v>420</v>
      </c>
      <c r="D42" s="19">
        <f>(D11+D16+D12+D17+D13+D14)*B42</f>
        <v>533.40000000000009</v>
      </c>
      <c r="E42" s="19">
        <f>(E11+E16+E12+E17+E13+E14)*B42</f>
        <v>618.39599999999996</v>
      </c>
      <c r="F42" s="19">
        <f>(F11+F16+F12+F17+F13+F14)*B42</f>
        <v>626.54507999999998</v>
      </c>
      <c r="G42" s="19">
        <f>(G11+G16+G12+G17+G13+G14)*B42</f>
        <v>652.08219839999992</v>
      </c>
    </row>
    <row r="43" spans="1:8" x14ac:dyDescent="0.25">
      <c r="A43" s="15" t="s">
        <v>51</v>
      </c>
      <c r="B43" s="22">
        <v>10</v>
      </c>
      <c r="C43" s="19">
        <f>(C11+C16+C12+C17+C13+C14)*B43</f>
        <v>280</v>
      </c>
      <c r="D43" s="19">
        <f>(D11+D16+D12+D17+D13+D14)*B43</f>
        <v>355.6</v>
      </c>
      <c r="E43" s="19">
        <f>(E11+E16+E12+E17+E13+E14)*B43</f>
        <v>412.26400000000001</v>
      </c>
      <c r="F43" s="19">
        <f>(F11+F16+F12+F17+F13+F14)*B43</f>
        <v>417.69672000000003</v>
      </c>
      <c r="G43" s="19">
        <f>(G11+G16+G12+G17+G13+G14)*B43</f>
        <v>434.72146559999993</v>
      </c>
    </row>
    <row r="44" spans="1:8" x14ac:dyDescent="0.25">
      <c r="A44" s="15" t="s">
        <v>52</v>
      </c>
      <c r="B44" s="22">
        <v>40</v>
      </c>
      <c r="C44" s="19">
        <f>(C11+C16+C12+C17+C13+C14)*B44</f>
        <v>1120</v>
      </c>
      <c r="D44" s="19">
        <f>(D11+D16+D12+D17+D13+D14)*B44</f>
        <v>1422.4</v>
      </c>
      <c r="E44" s="19">
        <f>(E11+E16+E12+E17+E13+E14)*B44</f>
        <v>1649.056</v>
      </c>
      <c r="F44" s="19">
        <f>(F11+F16+F12+F17+F13+F14)*B44</f>
        <v>1670.7868800000001</v>
      </c>
      <c r="G44" s="19">
        <f>(G11+G16+G12+G17+G13+G14)*B44</f>
        <v>1738.8858623999997</v>
      </c>
    </row>
    <row r="45" spans="1:8" x14ac:dyDescent="0.25">
      <c r="A45" s="15" t="s">
        <v>53</v>
      </c>
      <c r="B45" s="22">
        <v>30</v>
      </c>
      <c r="C45" s="19">
        <f>(C11+C16+C12+C17+C13+C14)*B45</f>
        <v>840</v>
      </c>
      <c r="D45" s="19">
        <f>(D11+D16+D12+D17+D13+D14)*B45</f>
        <v>1066.8000000000002</v>
      </c>
      <c r="E45" s="19">
        <f>(E11+E16+E12+E17+E13+E14)*B45</f>
        <v>1236.7919999999999</v>
      </c>
      <c r="F45" s="19">
        <f>(F11+F16+F12+F17+F13+F14)*B45</f>
        <v>1253.09016</v>
      </c>
      <c r="G45" s="19">
        <f>(G11+G16+G12+G17+G13+G14)*B45</f>
        <v>1304.1643967999998</v>
      </c>
    </row>
    <row r="46" spans="1:8" x14ac:dyDescent="0.25">
      <c r="A46" s="11" t="s">
        <v>54</v>
      </c>
      <c r="B46" s="11"/>
      <c r="C46" s="19">
        <f>SUM(C36:C45)</f>
        <v>12206.8</v>
      </c>
      <c r="D46" s="19">
        <f t="shared" ref="D46:G46" si="15">SUM(D36:D45)</f>
        <v>15817.116000000002</v>
      </c>
      <c r="E46" s="19">
        <f t="shared" si="15"/>
        <v>18132.241600000001</v>
      </c>
      <c r="F46" s="19">
        <f t="shared" si="15"/>
        <v>18625.663388000001</v>
      </c>
      <c r="G46" s="19">
        <f t="shared" si="15"/>
        <v>19357.118264839995</v>
      </c>
    </row>
    <row r="47" spans="1:8" x14ac:dyDescent="0.25">
      <c r="A47" s="15" t="s">
        <v>55</v>
      </c>
      <c r="B47" s="15"/>
      <c r="C47" s="19">
        <f>C46/(C11+C16+C13+C14)</f>
        <v>488.27199999999999</v>
      </c>
      <c r="D47" s="19">
        <f>D46/(D11+D16+D13+D14)</f>
        <v>499.2776515151516</v>
      </c>
      <c r="E47" s="19">
        <f>E46/(E11+E16+E13+E14)</f>
        <v>541.80436497501989</v>
      </c>
      <c r="F47" s="19">
        <f>F46/(F11+F16+F13+F14)</f>
        <v>556.70832165159266</v>
      </c>
      <c r="G47" s="19">
        <f>G46/(G11+G16+G13+G14)</f>
        <v>558.60013448868972</v>
      </c>
    </row>
    <row r="48" spans="1:8" x14ac:dyDescent="0.25">
      <c r="C48" s="19"/>
      <c r="D48" s="19"/>
      <c r="E48" s="19"/>
      <c r="F48" s="19"/>
      <c r="G48" s="19"/>
    </row>
    <row r="49" spans="1:13" x14ac:dyDescent="0.25">
      <c r="A49" s="11" t="s">
        <v>56</v>
      </c>
      <c r="B49" s="11"/>
      <c r="C49" s="19">
        <f>C32-C46</f>
        <v>-5661.7999999999993</v>
      </c>
      <c r="D49" s="19">
        <f t="shared" ref="D49:G49" si="16">D32-D46</f>
        <v>-2243.9160000000011</v>
      </c>
      <c r="E49" s="19">
        <f t="shared" si="16"/>
        <v>4537.5583999999981</v>
      </c>
      <c r="F49" s="19">
        <f t="shared" si="16"/>
        <v>2790.3806120000008</v>
      </c>
      <c r="G49" s="19">
        <f t="shared" si="16"/>
        <v>6136.6488251600058</v>
      </c>
    </row>
    <row r="50" spans="1:13" x14ac:dyDescent="0.25">
      <c r="A50" s="15" t="s">
        <v>57</v>
      </c>
      <c r="B50" s="15"/>
      <c r="C50" s="19">
        <f>C49/(C16+C11)</f>
        <v>-333.04705882352937</v>
      </c>
      <c r="D50" s="19">
        <f>D49/(D16+D11)</f>
        <v>-113.32909090909097</v>
      </c>
      <c r="E50" s="19">
        <f>E49/(E16+E11)</f>
        <v>221.92456373738159</v>
      </c>
      <c r="F50" s="19">
        <f>F49/(F16+F11)</f>
        <v>139.65958400534302</v>
      </c>
      <c r="G50" s="19">
        <f>G49/(G16+G11)</f>
        <v>291.63648094343637</v>
      </c>
    </row>
    <row r="51" spans="1:13" x14ac:dyDescent="0.25">
      <c r="A51" s="16" t="s">
        <v>58</v>
      </c>
      <c r="B51" s="16"/>
      <c r="C51" s="17">
        <f>(C49/(((C11+C13)*C26)+(C16*C29)+(((C14*0.5)-C21)*C22)+D8))*100</f>
        <v>-7.9186013986013979</v>
      </c>
      <c r="D51" s="17">
        <f>(D49/(((D11+D13)*D26)+(D16*D29)+(((D14*0.5)-D21)*D22)+E8))*100</f>
        <v>-2.0396566267688607</v>
      </c>
      <c r="E51" s="17">
        <f>(E49/(((E11+E13)*E26)+(E16*E29)+(((E14*0.5)-E21)*E22)+F8))*100</f>
        <v>6.0052327541713684</v>
      </c>
      <c r="F51" s="17">
        <f>(F49/(((F11+F13)*F26)+(F16*F29)+(((F14*0.5)-F21)*F22)+G8))*100</f>
        <v>3.5780057754093804</v>
      </c>
      <c r="G51" s="17">
        <f>(G49/(((G11+G13)*G26)+(G16*G29)+(((G14*0.5)-G21)*G22)+H8))*100</f>
        <v>6.9630143805489348</v>
      </c>
      <c r="H51" s="27">
        <f>SUM(C51:G51)/5</f>
        <v>1.3175989769518848</v>
      </c>
    </row>
    <row r="52" spans="1:13" x14ac:dyDescent="0.25">
      <c r="C52" s="14"/>
      <c r="D52" s="14"/>
      <c r="E52" s="14"/>
      <c r="F52" s="14"/>
      <c r="G52" s="14"/>
      <c r="I52" s="14"/>
      <c r="J52" s="14"/>
      <c r="K52" s="14"/>
      <c r="L52" s="14"/>
    </row>
    <row r="53" spans="1:13" x14ac:dyDescent="0.25">
      <c r="A53" s="5" t="s">
        <v>88</v>
      </c>
      <c r="C53" s="26">
        <f>(C32-C46)/A8*100</f>
        <v>-5.0824057450628359</v>
      </c>
      <c r="D53" s="26">
        <f>((D32-D46))/A8*100</f>
        <v>-2.0142872531418323</v>
      </c>
      <c r="E53" s="26">
        <f>((E32-E46))/A8*100</f>
        <v>4.0732122082585258</v>
      </c>
      <c r="F53" s="26">
        <f>((F32-F46))/A8*100</f>
        <v>2.5048299928186721</v>
      </c>
      <c r="G53" s="26">
        <f>((G32-G46))/A8*100</f>
        <v>5.5086614229443498</v>
      </c>
      <c r="H53" s="26">
        <f>SUM(C53:G53)/5</f>
        <v>0.99800212516337583</v>
      </c>
      <c r="I53" s="26"/>
      <c r="J53" s="26"/>
      <c r="K53" s="26"/>
      <c r="L53" s="26"/>
      <c r="M53" s="30"/>
    </row>
    <row r="54" spans="1:13" x14ac:dyDescent="0.25">
      <c r="A54" s="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0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G19</f>
        <v>88223.015306700487</v>
      </c>
      <c r="C56" s="29"/>
    </row>
    <row r="57" spans="1:13" x14ac:dyDescent="0.25">
      <c r="A57" s="1" t="s">
        <v>61</v>
      </c>
      <c r="B57" s="34">
        <f>(C8+D8)*0.5</f>
        <v>33200</v>
      </c>
      <c r="C57" s="29" t="s">
        <v>76</v>
      </c>
    </row>
    <row r="58" spans="1:13" x14ac:dyDescent="0.25">
      <c r="A58" s="5" t="s">
        <v>62</v>
      </c>
      <c r="B58" s="33">
        <f>SUM(B56:B57)</f>
        <v>121423.01530670049</v>
      </c>
      <c r="D58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J3" sqref="J3"/>
    </sheetView>
  </sheetViews>
  <sheetFormatPr defaultColWidth="11.42578125" defaultRowHeight="15.75" x14ac:dyDescent="0.25"/>
  <cols>
    <col min="1" max="1" width="27.5703125" style="1" customWidth="1"/>
    <col min="2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1" width="14.42578125" style="1" customWidth="1"/>
    <col min="12" max="12" width="14.85546875" style="1" customWidth="1"/>
    <col min="13" max="13" width="12.7109375" style="1" customWidth="1"/>
    <col min="14" max="22" width="10.7109375" style="1" customWidth="1"/>
    <col min="23" max="16384" width="11.42578125" style="1"/>
  </cols>
  <sheetData>
    <row r="1" spans="1:14" ht="23.25" x14ac:dyDescent="0.35">
      <c r="E1" s="2" t="s">
        <v>0</v>
      </c>
      <c r="N1" s="3" t="s">
        <v>1</v>
      </c>
    </row>
    <row r="2" spans="1:14" ht="23.25" x14ac:dyDescent="0.35">
      <c r="E2" s="2"/>
      <c r="N2" s="1" t="s">
        <v>2</v>
      </c>
    </row>
    <row r="3" spans="1:14" ht="18.75" x14ac:dyDescent="0.3">
      <c r="A3" s="4" t="s">
        <v>3</v>
      </c>
      <c r="B3" s="4"/>
      <c r="N3" s="1" t="s">
        <v>4</v>
      </c>
    </row>
    <row r="4" spans="1:14" x14ac:dyDescent="0.25">
      <c r="A4" s="5"/>
      <c r="B4" s="5"/>
      <c r="I4" s="6"/>
      <c r="L4" s="6"/>
      <c r="M4" s="6"/>
      <c r="N4" s="1" t="s">
        <v>5</v>
      </c>
    </row>
    <row r="5" spans="1:14" x14ac:dyDescent="0.25">
      <c r="A5" s="5" t="s">
        <v>6</v>
      </c>
      <c r="B5" s="5"/>
      <c r="I5" s="6"/>
      <c r="N5" s="1" t="s">
        <v>7</v>
      </c>
    </row>
    <row r="6" spans="1:14" x14ac:dyDescent="0.25">
      <c r="I6" s="6"/>
      <c r="J6" s="6"/>
      <c r="N6" s="1" t="s">
        <v>8</v>
      </c>
    </row>
    <row r="7" spans="1:14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H7" s="7"/>
      <c r="J7" s="7"/>
      <c r="L7" s="7"/>
      <c r="N7" s="1" t="s">
        <v>13</v>
      </c>
    </row>
    <row r="8" spans="1:14" s="5" customFormat="1" x14ac:dyDescent="0.25">
      <c r="A8" s="32">
        <f>SUM(C8:G8)</f>
        <v>111400</v>
      </c>
      <c r="B8" s="32"/>
      <c r="C8" s="31">
        <v>40000</v>
      </c>
      <c r="D8" s="31">
        <v>26400</v>
      </c>
      <c r="E8" s="33">
        <v>45000</v>
      </c>
      <c r="H8" s="7"/>
      <c r="J8" s="7"/>
      <c r="K8" s="9"/>
      <c r="L8" s="10"/>
      <c r="N8" s="1" t="s">
        <v>14</v>
      </c>
    </row>
    <row r="9" spans="1:14" s="5" customFormat="1" x14ac:dyDescent="0.25">
      <c r="A9" s="7"/>
      <c r="B9" s="7"/>
      <c r="D9" s="8"/>
      <c r="F9" s="8"/>
      <c r="H9" s="7"/>
      <c r="J9" s="7"/>
      <c r="K9" s="9"/>
      <c r="L9" s="10"/>
      <c r="N9" s="5" t="s">
        <v>15</v>
      </c>
    </row>
    <row r="10" spans="1:14" x14ac:dyDescent="0.25">
      <c r="A10" s="11" t="s">
        <v>16</v>
      </c>
      <c r="B10" s="11" t="s">
        <v>17</v>
      </c>
      <c r="C10" s="8">
        <v>1</v>
      </c>
      <c r="D10" s="8">
        <f>SUM(C10+1)</f>
        <v>2</v>
      </c>
      <c r="E10" s="8">
        <f t="shared" ref="E10:L10" si="0">SUM(D10+1)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</row>
    <row r="11" spans="1:14" x14ac:dyDescent="0.25">
      <c r="A11" s="12" t="s">
        <v>18</v>
      </c>
      <c r="B11" s="12"/>
      <c r="C11" s="13">
        <v>10</v>
      </c>
      <c r="D11" s="14">
        <f t="shared" ref="D11:L11" si="1">(C11+C12)-C25</f>
        <v>10</v>
      </c>
      <c r="E11" s="14">
        <f t="shared" si="1"/>
        <v>10</v>
      </c>
      <c r="F11" s="14">
        <f t="shared" si="1"/>
        <v>9.879999999999999</v>
      </c>
      <c r="G11" s="14">
        <f t="shared" si="1"/>
        <v>9.759999999999998</v>
      </c>
      <c r="H11" s="14">
        <f t="shared" si="1"/>
        <v>9.580899999999998</v>
      </c>
      <c r="I11" s="14">
        <f t="shared" si="1"/>
        <v>10.355239999999998</v>
      </c>
      <c r="J11" s="14">
        <f t="shared" si="1"/>
        <v>10.311188249999997</v>
      </c>
      <c r="K11" s="14">
        <f t="shared" si="1"/>
        <v>10.186354899999996</v>
      </c>
      <c r="L11" s="14">
        <f t="shared" si="1"/>
        <v>10.406005470624995</v>
      </c>
    </row>
    <row r="12" spans="1:14" x14ac:dyDescent="0.25">
      <c r="A12" s="12" t="s">
        <v>19</v>
      </c>
      <c r="B12" s="12"/>
      <c r="C12" s="13">
        <v>0</v>
      </c>
      <c r="D12" s="14">
        <f t="shared" ref="D12:L12" si="2">C13</f>
        <v>0</v>
      </c>
      <c r="E12" s="14">
        <f t="shared" si="2"/>
        <v>3.88</v>
      </c>
      <c r="F12" s="14">
        <f t="shared" si="2"/>
        <v>3.88</v>
      </c>
      <c r="G12" s="14">
        <f t="shared" si="2"/>
        <v>4.8209</v>
      </c>
      <c r="H12" s="14">
        <f t="shared" si="2"/>
        <v>4.7743399999999996</v>
      </c>
      <c r="I12" s="14">
        <f t="shared" si="2"/>
        <v>4.9559482499999996</v>
      </c>
      <c r="J12" s="14">
        <f t="shared" si="2"/>
        <v>4.8751666499999988</v>
      </c>
      <c r="K12" s="14">
        <f t="shared" si="2"/>
        <v>5.2196505706249994</v>
      </c>
      <c r="L12" s="14">
        <f t="shared" si="2"/>
        <v>5.1829689536249992</v>
      </c>
    </row>
    <row r="13" spans="1:14" x14ac:dyDescent="0.25">
      <c r="A13" s="12" t="s">
        <v>20</v>
      </c>
      <c r="B13" s="12"/>
      <c r="C13" s="13">
        <v>0</v>
      </c>
      <c r="D13" s="14">
        <f t="shared" ref="D13:L13" si="3">(C14*0.5)*0.97</f>
        <v>3.88</v>
      </c>
      <c r="E13" s="14">
        <f t="shared" si="3"/>
        <v>3.88</v>
      </c>
      <c r="F13" s="14">
        <f t="shared" si="3"/>
        <v>4.8209</v>
      </c>
      <c r="G13" s="14">
        <f t="shared" si="3"/>
        <v>4.7743399999999996</v>
      </c>
      <c r="H13" s="14">
        <f t="shared" si="3"/>
        <v>4.9559482499999996</v>
      </c>
      <c r="I13" s="14">
        <f t="shared" si="3"/>
        <v>4.8751666499999988</v>
      </c>
      <c r="J13" s="14">
        <f t="shared" si="3"/>
        <v>5.2196505706249994</v>
      </c>
      <c r="K13" s="14">
        <f t="shared" si="3"/>
        <v>5.1829689536249992</v>
      </c>
      <c r="L13" s="14">
        <f t="shared" si="3"/>
        <v>5.2180709645765608</v>
      </c>
    </row>
    <row r="14" spans="1:14" x14ac:dyDescent="0.25">
      <c r="A14" s="15" t="s">
        <v>21</v>
      </c>
      <c r="B14" s="15"/>
      <c r="C14" s="14">
        <f t="shared" ref="C14:L14" si="4">((C11*C15)+(C12*0.5))</f>
        <v>8</v>
      </c>
      <c r="D14" s="14">
        <f t="shared" si="4"/>
        <v>8</v>
      </c>
      <c r="E14" s="14">
        <f t="shared" si="4"/>
        <v>9.94</v>
      </c>
      <c r="F14" s="14">
        <f t="shared" si="4"/>
        <v>9.8439999999999994</v>
      </c>
      <c r="G14" s="14">
        <f t="shared" si="4"/>
        <v>10.218449999999999</v>
      </c>
      <c r="H14" s="14">
        <f t="shared" si="4"/>
        <v>10.051889999999998</v>
      </c>
      <c r="I14" s="14">
        <f t="shared" si="4"/>
        <v>10.762166124999998</v>
      </c>
      <c r="J14" s="14">
        <f t="shared" si="4"/>
        <v>10.686533924999999</v>
      </c>
      <c r="K14" s="14">
        <f t="shared" si="4"/>
        <v>10.758909205312497</v>
      </c>
      <c r="L14" s="14">
        <f t="shared" si="4"/>
        <v>10.916288853312496</v>
      </c>
    </row>
    <row r="15" spans="1:14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  <c r="H15" s="17">
        <v>0.8</v>
      </c>
      <c r="I15" s="17">
        <v>0.8</v>
      </c>
      <c r="J15" s="17">
        <v>0.8</v>
      </c>
      <c r="K15" s="17">
        <v>0.8</v>
      </c>
      <c r="L15" s="17">
        <v>0.8</v>
      </c>
    </row>
    <row r="16" spans="1:14" x14ac:dyDescent="0.25">
      <c r="A16" s="15" t="s">
        <v>23</v>
      </c>
      <c r="B16" s="15"/>
      <c r="C16" s="18">
        <v>7</v>
      </c>
      <c r="D16" s="14">
        <f t="shared" ref="D16:L16" si="5">((C16+C17)-(C23+C28))*0.98</f>
        <v>8.82</v>
      </c>
      <c r="E16" s="14">
        <f t="shared" si="5"/>
        <v>9.5059999999999985</v>
      </c>
      <c r="F16" s="14">
        <f t="shared" si="5"/>
        <v>10.178279999999999</v>
      </c>
      <c r="G16" s="14">
        <f t="shared" si="5"/>
        <v>11.759196399999999</v>
      </c>
      <c r="H16" s="14">
        <f t="shared" si="5"/>
        <v>12.282865672</v>
      </c>
      <c r="I16" s="14">
        <f t="shared" si="5"/>
        <v>12.974037643559999</v>
      </c>
      <c r="J16" s="14">
        <f t="shared" si="5"/>
        <v>12.592220207688799</v>
      </c>
      <c r="K16" s="14">
        <f t="shared" si="5"/>
        <v>12.555633362747519</v>
      </c>
      <c r="L16" s="14">
        <f t="shared" si="5"/>
        <v>12.483830270045067</v>
      </c>
    </row>
    <row r="17" spans="1:20" x14ac:dyDescent="0.25">
      <c r="A17" s="12" t="s">
        <v>24</v>
      </c>
      <c r="B17" s="12"/>
      <c r="C17" s="13">
        <v>3</v>
      </c>
      <c r="D17" s="14">
        <f t="shared" ref="D17:L17" si="6">(C14*0.5)*0.97</f>
        <v>3.88</v>
      </c>
      <c r="E17" s="14">
        <f t="shared" si="6"/>
        <v>3.88</v>
      </c>
      <c r="F17" s="14">
        <f t="shared" si="6"/>
        <v>4.8209</v>
      </c>
      <c r="G17" s="14">
        <f t="shared" si="6"/>
        <v>4.7743399999999996</v>
      </c>
      <c r="H17" s="14">
        <f t="shared" si="6"/>
        <v>4.9559482499999996</v>
      </c>
      <c r="I17" s="14">
        <f t="shared" si="6"/>
        <v>4.8751666499999988</v>
      </c>
      <c r="J17" s="14">
        <f t="shared" si="6"/>
        <v>5.2196505706249994</v>
      </c>
      <c r="K17" s="14">
        <f t="shared" si="6"/>
        <v>5.1829689536249992</v>
      </c>
      <c r="L17" s="14">
        <f t="shared" si="6"/>
        <v>5.2180709645765608</v>
      </c>
    </row>
    <row r="18" spans="1:20" x14ac:dyDescent="0.25">
      <c r="A18" s="15" t="s">
        <v>25</v>
      </c>
      <c r="B18" s="15"/>
      <c r="C18" s="14">
        <f t="shared" ref="C18:L18" si="7">SUM(C11:C17)</f>
        <v>28.8</v>
      </c>
      <c r="D18" s="14">
        <f t="shared" si="7"/>
        <v>35.380000000000003</v>
      </c>
      <c r="E18" s="14">
        <f t="shared" si="7"/>
        <v>41.885999999999996</v>
      </c>
      <c r="F18" s="14">
        <f t="shared" si="7"/>
        <v>44.224080000000001</v>
      </c>
      <c r="G18" s="14">
        <f t="shared" si="7"/>
        <v>46.907226399999999</v>
      </c>
      <c r="H18" s="14">
        <f t="shared" si="7"/>
        <v>47.401892171999997</v>
      </c>
      <c r="I18" s="14">
        <f t="shared" si="7"/>
        <v>49.597725318559995</v>
      </c>
      <c r="J18" s="14">
        <f t="shared" si="7"/>
        <v>49.704410173938797</v>
      </c>
      <c r="K18" s="14">
        <f t="shared" si="7"/>
        <v>49.886485945935007</v>
      </c>
      <c r="L18" s="14">
        <f t="shared" si="7"/>
        <v>50.22523547676068</v>
      </c>
    </row>
    <row r="19" spans="1:20" x14ac:dyDescent="0.25">
      <c r="A19" s="15" t="s">
        <v>26</v>
      </c>
      <c r="B19" s="15"/>
      <c r="C19" s="19">
        <f t="shared" ref="C19:L19" si="8">SUM(C11*C26)+((C16*0.25)*C24)+(C16*0.75*C29)+(C13*C22)+(C14*C22)+(C12*0.85*C26)+(C17*1000)</f>
        <v>44450</v>
      </c>
      <c r="D19" s="19">
        <f t="shared" si="8"/>
        <v>60888.75</v>
      </c>
      <c r="E19" s="19">
        <f t="shared" si="8"/>
        <v>72075.485549999998</v>
      </c>
      <c r="F19" s="19">
        <f t="shared" si="8"/>
        <v>80139.810983749994</v>
      </c>
      <c r="G19" s="19">
        <f t="shared" si="8"/>
        <v>92255.417103625616</v>
      </c>
      <c r="H19" s="19">
        <f t="shared" si="8"/>
        <v>99061.879417816526</v>
      </c>
      <c r="I19" s="19">
        <f t="shared" si="8"/>
        <v>109184.15695074263</v>
      </c>
      <c r="J19" s="19">
        <f t="shared" si="8"/>
        <v>112934.0731080516</v>
      </c>
      <c r="K19" s="19">
        <f t="shared" si="8"/>
        <v>118374.10456962459</v>
      </c>
      <c r="L19" s="19">
        <f t="shared" si="8"/>
        <v>124222.27137075405</v>
      </c>
    </row>
    <row r="20" spans="1:20" x14ac:dyDescent="0.25">
      <c r="A20" s="11" t="s">
        <v>27</v>
      </c>
      <c r="B20" s="11"/>
    </row>
    <row r="21" spans="1:20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20" x14ac:dyDescent="0.25">
      <c r="A22" s="15" t="s">
        <v>29</v>
      </c>
      <c r="B22" s="15"/>
      <c r="C22" s="19">
        <v>650</v>
      </c>
      <c r="D22" s="19">
        <v>1000</v>
      </c>
      <c r="E22" s="19">
        <f t="shared" ref="E22:L22" si="9">D22*1.05</f>
        <v>1050</v>
      </c>
      <c r="F22" s="19">
        <f t="shared" si="9"/>
        <v>1102.5</v>
      </c>
      <c r="G22" s="19">
        <f t="shared" si="9"/>
        <v>1157.625</v>
      </c>
      <c r="H22" s="19">
        <f t="shared" si="9"/>
        <v>1215.5062500000001</v>
      </c>
      <c r="I22" s="19">
        <f t="shared" si="9"/>
        <v>1276.2815625000003</v>
      </c>
      <c r="J22" s="19">
        <f t="shared" si="9"/>
        <v>1340.0956406250004</v>
      </c>
      <c r="K22" s="19">
        <f t="shared" si="9"/>
        <v>1407.1004226562504</v>
      </c>
      <c r="L22" s="19">
        <f t="shared" si="9"/>
        <v>1477.4554437890631</v>
      </c>
    </row>
    <row r="23" spans="1:20" x14ac:dyDescent="0.25">
      <c r="A23" s="12" t="s">
        <v>30</v>
      </c>
      <c r="B23" s="12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20" x14ac:dyDescent="0.25">
      <c r="A24" s="12" t="s">
        <v>31</v>
      </c>
      <c r="B24" s="12"/>
      <c r="C24" s="19">
        <v>1500</v>
      </c>
      <c r="D24" s="19">
        <f>C24*1.05</f>
        <v>1575</v>
      </c>
      <c r="E24" s="19">
        <f t="shared" ref="E24:L24" si="10">D24*1.05</f>
        <v>1653.75</v>
      </c>
      <c r="F24" s="19">
        <f t="shared" si="10"/>
        <v>1736.4375</v>
      </c>
      <c r="G24" s="19">
        <f t="shared" si="10"/>
        <v>1823.2593750000001</v>
      </c>
      <c r="H24" s="19">
        <f t="shared" si="10"/>
        <v>1914.4223437500002</v>
      </c>
      <c r="I24" s="19">
        <f t="shared" si="10"/>
        <v>2010.1434609375003</v>
      </c>
      <c r="J24" s="19">
        <f t="shared" si="10"/>
        <v>2110.6506339843754</v>
      </c>
      <c r="K24" s="19">
        <f t="shared" si="10"/>
        <v>2216.1831656835943</v>
      </c>
      <c r="L24" s="19">
        <f t="shared" si="10"/>
        <v>2326.9923239677742</v>
      </c>
      <c r="T24" s="14"/>
    </row>
    <row r="25" spans="1:20" x14ac:dyDescent="0.25">
      <c r="A25" s="15" t="s">
        <v>32</v>
      </c>
      <c r="B25" s="15"/>
      <c r="C25" s="18">
        <v>0</v>
      </c>
      <c r="D25" s="18">
        <v>0</v>
      </c>
      <c r="E25" s="18">
        <v>4</v>
      </c>
      <c r="F25" s="18">
        <v>4</v>
      </c>
      <c r="G25" s="18">
        <v>5</v>
      </c>
      <c r="H25" s="18">
        <v>4</v>
      </c>
      <c r="I25" s="18">
        <v>5</v>
      </c>
      <c r="J25" s="18">
        <v>5</v>
      </c>
      <c r="K25" s="18">
        <v>5</v>
      </c>
      <c r="L25" s="18">
        <v>5</v>
      </c>
    </row>
    <row r="26" spans="1:20" x14ac:dyDescent="0.25">
      <c r="A26" s="15" t="s">
        <v>33</v>
      </c>
      <c r="B26" s="15"/>
      <c r="C26" s="19">
        <v>1000</v>
      </c>
      <c r="D26" s="19">
        <f>C26*1.04</f>
        <v>1040</v>
      </c>
      <c r="E26" s="19">
        <f>D26*1.04</f>
        <v>1081.6000000000001</v>
      </c>
      <c r="F26" s="19">
        <f t="shared" ref="F26:L26" si="11">E26*1.05</f>
        <v>1135.6800000000003</v>
      </c>
      <c r="G26" s="19">
        <f t="shared" si="11"/>
        <v>1192.4640000000004</v>
      </c>
      <c r="H26" s="19">
        <f t="shared" si="11"/>
        <v>1252.0872000000004</v>
      </c>
      <c r="I26" s="19">
        <f t="shared" si="11"/>
        <v>1314.6915600000004</v>
      </c>
      <c r="J26" s="19">
        <f t="shared" si="11"/>
        <v>1380.4261380000005</v>
      </c>
      <c r="K26" s="19">
        <f t="shared" si="11"/>
        <v>1449.4474449000006</v>
      </c>
      <c r="L26" s="19">
        <f t="shared" si="11"/>
        <v>1521.9198171450007</v>
      </c>
    </row>
    <row r="27" spans="1:20" x14ac:dyDescent="0.25">
      <c r="A27" s="12" t="s">
        <v>34</v>
      </c>
      <c r="B27" s="12"/>
      <c r="C27" s="14">
        <f>C18*0.02</f>
        <v>0.57600000000000007</v>
      </c>
      <c r="D27" s="14">
        <f t="shared" ref="D27:L27" si="12">D18*0.02</f>
        <v>0.70760000000000012</v>
      </c>
      <c r="E27" s="14">
        <f t="shared" si="12"/>
        <v>0.83771999999999991</v>
      </c>
      <c r="F27" s="14">
        <f t="shared" si="12"/>
        <v>0.88448159999999998</v>
      </c>
      <c r="G27" s="14">
        <f t="shared" si="12"/>
        <v>0.93814452800000003</v>
      </c>
      <c r="H27" s="14">
        <f t="shared" si="12"/>
        <v>0.94803784343999997</v>
      </c>
      <c r="I27" s="14">
        <f t="shared" si="12"/>
        <v>0.99195450637119997</v>
      </c>
      <c r="J27" s="14">
        <f t="shared" si="12"/>
        <v>0.99408820347877591</v>
      </c>
      <c r="K27" s="14">
        <f t="shared" si="12"/>
        <v>0.99772971891870021</v>
      </c>
      <c r="L27" s="14">
        <f t="shared" si="12"/>
        <v>1.0045047095352135</v>
      </c>
    </row>
    <row r="28" spans="1:20" x14ac:dyDescent="0.25">
      <c r="A28" s="12" t="s">
        <v>35</v>
      </c>
      <c r="B28" s="12"/>
      <c r="C28" s="13">
        <v>1</v>
      </c>
      <c r="D28" s="13">
        <v>3</v>
      </c>
      <c r="E28" s="13">
        <v>3</v>
      </c>
      <c r="F28" s="13">
        <v>3</v>
      </c>
      <c r="G28" s="13">
        <v>4</v>
      </c>
      <c r="H28" s="13">
        <v>4</v>
      </c>
      <c r="I28" s="13">
        <v>5</v>
      </c>
      <c r="J28" s="13">
        <v>5</v>
      </c>
      <c r="K28" s="13">
        <v>5</v>
      </c>
      <c r="L28" s="13">
        <v>5</v>
      </c>
    </row>
    <row r="29" spans="1:20" x14ac:dyDescent="0.25">
      <c r="A29" s="12" t="s">
        <v>36</v>
      </c>
      <c r="B29" s="12"/>
      <c r="C29" s="19">
        <v>4500</v>
      </c>
      <c r="D29" s="19">
        <f t="shared" ref="D29" si="13">C29*1.05</f>
        <v>4725</v>
      </c>
      <c r="E29" s="19">
        <f t="shared" ref="E29" si="14">D29*1.05</f>
        <v>4961.25</v>
      </c>
      <c r="F29" s="19">
        <f t="shared" ref="F29:L29" si="15">E29*1.05</f>
        <v>5209.3125</v>
      </c>
      <c r="G29" s="19">
        <f t="shared" si="15"/>
        <v>5469.7781249999998</v>
      </c>
      <c r="H29" s="19">
        <f t="shared" si="15"/>
        <v>5743.2670312500004</v>
      </c>
      <c r="I29" s="19">
        <f t="shared" si="15"/>
        <v>6030.4303828125003</v>
      </c>
      <c r="J29" s="19">
        <f t="shared" si="15"/>
        <v>6331.9519019531253</v>
      </c>
      <c r="K29" s="19">
        <f t="shared" si="15"/>
        <v>6648.5494970507816</v>
      </c>
      <c r="L29" s="19">
        <f t="shared" si="15"/>
        <v>6980.9769719033211</v>
      </c>
    </row>
    <row r="30" spans="1:20" x14ac:dyDescent="0.25">
      <c r="A30" s="15" t="s">
        <v>37</v>
      </c>
      <c r="B30" s="15"/>
      <c r="C30" s="20">
        <f t="shared" ref="C30:L30" si="16">((C16-C28)*12)+(C17*2)</f>
        <v>78</v>
      </c>
      <c r="D30" s="20">
        <f t="shared" si="16"/>
        <v>77.600000000000009</v>
      </c>
      <c r="E30" s="20">
        <f t="shared" si="16"/>
        <v>85.831999999999979</v>
      </c>
      <c r="F30" s="20">
        <f t="shared" si="16"/>
        <v>95.781159999999986</v>
      </c>
      <c r="G30" s="20">
        <f t="shared" si="16"/>
        <v>102.65903679999998</v>
      </c>
      <c r="H30" s="20">
        <f t="shared" si="16"/>
        <v>109.30628456399999</v>
      </c>
      <c r="I30" s="20">
        <f t="shared" si="16"/>
        <v>105.43878502271998</v>
      </c>
      <c r="J30" s="20">
        <f t="shared" si="16"/>
        <v>101.54594363351559</v>
      </c>
      <c r="K30" s="20">
        <f t="shared" si="16"/>
        <v>101.03353826022023</v>
      </c>
      <c r="L30" s="20">
        <f t="shared" si="16"/>
        <v>100.24210516969391</v>
      </c>
    </row>
    <row r="31" spans="1:20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  <c r="H31" s="21">
        <v>35</v>
      </c>
      <c r="I31" s="21">
        <v>35</v>
      </c>
      <c r="J31" s="21">
        <v>35</v>
      </c>
      <c r="K31" s="21">
        <v>35</v>
      </c>
      <c r="L31" s="21">
        <v>35</v>
      </c>
    </row>
    <row r="32" spans="1:20" x14ac:dyDescent="0.25">
      <c r="A32" s="11" t="s">
        <v>39</v>
      </c>
      <c r="B32" s="11"/>
      <c r="C32" s="19">
        <f>(C21*C22)+(C23*C24)+(C25*C26)+(C28*C29)+(C30*C31)</f>
        <v>7230</v>
      </c>
      <c r="D32" s="19">
        <f t="shared" ref="D32:L32" si="17">(D21*D22)+(D23*D24)+(D25*D26)+(D28*D29)+(D30*D31)</f>
        <v>16891</v>
      </c>
      <c r="E32" s="19">
        <f t="shared" si="17"/>
        <v>22214.27</v>
      </c>
      <c r="F32" s="19">
        <f t="shared" si="17"/>
        <v>23522.998100000001</v>
      </c>
      <c r="G32" s="19">
        <f t="shared" si="17"/>
        <v>31434.498788000001</v>
      </c>
      <c r="H32" s="19">
        <f t="shared" si="17"/>
        <v>31807.136884740004</v>
      </c>
      <c r="I32" s="19">
        <f t="shared" si="17"/>
        <v>40415.967189857707</v>
      </c>
      <c r="J32" s="19">
        <f t="shared" si="17"/>
        <v>42115.998226938675</v>
      </c>
      <c r="K32" s="19">
        <f t="shared" si="17"/>
        <v>44026.158548861618</v>
      </c>
      <c r="L32" s="19">
        <f t="shared" si="17"/>
        <v>46022.957626180891</v>
      </c>
    </row>
    <row r="33" spans="1:13" x14ac:dyDescent="0.25">
      <c r="A33" s="15" t="s">
        <v>40</v>
      </c>
      <c r="B33" s="15"/>
      <c r="C33" s="19">
        <f t="shared" ref="C33:L33" si="18">C32/(C16+C11)</f>
        <v>425.29411764705884</v>
      </c>
      <c r="D33" s="19">
        <f t="shared" si="18"/>
        <v>897.50265674814023</v>
      </c>
      <c r="E33" s="19">
        <f t="shared" si="18"/>
        <v>1138.8429201271404</v>
      </c>
      <c r="F33" s="19">
        <f t="shared" si="18"/>
        <v>1172.7325623134188</v>
      </c>
      <c r="G33" s="19">
        <f t="shared" si="18"/>
        <v>1460.7654581376469</v>
      </c>
      <c r="H33" s="19">
        <f t="shared" si="18"/>
        <v>1454.7876775625189</v>
      </c>
      <c r="I33" s="19">
        <f t="shared" si="18"/>
        <v>1732.4139995828143</v>
      </c>
      <c r="J33" s="19">
        <f t="shared" si="18"/>
        <v>1838.852863526525</v>
      </c>
      <c r="K33" s="19">
        <f t="shared" si="18"/>
        <v>1935.8975143338109</v>
      </c>
      <c r="L33" s="19">
        <f t="shared" si="18"/>
        <v>2010.6285666527742</v>
      </c>
    </row>
    <row r="34" spans="1:13" x14ac:dyDescent="0.25">
      <c r="C34" s="14"/>
    </row>
    <row r="35" spans="1:13" x14ac:dyDescent="0.25">
      <c r="A35" s="11" t="s">
        <v>41</v>
      </c>
      <c r="B35" s="11"/>
    </row>
    <row r="36" spans="1:13" x14ac:dyDescent="0.25">
      <c r="A36" s="15" t="s">
        <v>42</v>
      </c>
      <c r="B36" s="15"/>
      <c r="C36" s="19">
        <f t="shared" ref="C36:L36" si="19">((C11+C12+C13)*200)</f>
        <v>2000</v>
      </c>
      <c r="D36" s="19">
        <f t="shared" si="19"/>
        <v>2776</v>
      </c>
      <c r="E36" s="19">
        <f t="shared" si="19"/>
        <v>3551.9999999999995</v>
      </c>
      <c r="F36" s="19">
        <f t="shared" si="19"/>
        <v>3716.18</v>
      </c>
      <c r="G36" s="19">
        <f t="shared" si="19"/>
        <v>3871.0479999999998</v>
      </c>
      <c r="H36" s="19">
        <f t="shared" si="19"/>
        <v>3862.2376499999996</v>
      </c>
      <c r="I36" s="19">
        <f t="shared" si="19"/>
        <v>4037.2709799999993</v>
      </c>
      <c r="J36" s="19">
        <f t="shared" si="19"/>
        <v>4081.2010941249996</v>
      </c>
      <c r="K36" s="19">
        <f t="shared" si="19"/>
        <v>4117.7948848499991</v>
      </c>
      <c r="L36" s="19">
        <f t="shared" si="19"/>
        <v>4161.4090777653109</v>
      </c>
    </row>
    <row r="37" spans="1:13" x14ac:dyDescent="0.25">
      <c r="A37" s="15" t="s">
        <v>43</v>
      </c>
      <c r="B37" s="22">
        <v>0.02</v>
      </c>
      <c r="C37" s="19">
        <f>D8*B37</f>
        <v>528</v>
      </c>
      <c r="D37" s="14">
        <f t="shared" ref="D37:L37" si="20">C37*1.05</f>
        <v>554.4</v>
      </c>
      <c r="E37" s="14">
        <f t="shared" si="20"/>
        <v>582.12</v>
      </c>
      <c r="F37" s="14">
        <f t="shared" si="20"/>
        <v>611.226</v>
      </c>
      <c r="G37" s="14">
        <f t="shared" si="20"/>
        <v>641.78730000000007</v>
      </c>
      <c r="H37" s="14">
        <f t="shared" si="20"/>
        <v>673.87666500000012</v>
      </c>
      <c r="I37" s="14">
        <f t="shared" si="20"/>
        <v>707.57049825000013</v>
      </c>
      <c r="J37" s="14">
        <f t="shared" si="20"/>
        <v>742.94902316250011</v>
      </c>
      <c r="K37" s="14">
        <f t="shared" si="20"/>
        <v>780.09647432062513</v>
      </c>
      <c r="L37" s="14">
        <f t="shared" si="20"/>
        <v>819.10129803665643</v>
      </c>
    </row>
    <row r="38" spans="1:13" x14ac:dyDescent="0.25">
      <c r="A38" s="12" t="s">
        <v>44</v>
      </c>
      <c r="B38" s="23">
        <v>0.02</v>
      </c>
      <c r="C38" s="19">
        <f>C8*B38</f>
        <v>800</v>
      </c>
      <c r="D38" s="14">
        <f t="shared" ref="D38:L38" si="21">C38*1.03</f>
        <v>824</v>
      </c>
      <c r="E38" s="14">
        <f t="shared" si="21"/>
        <v>848.72</v>
      </c>
      <c r="F38" s="14">
        <f t="shared" si="21"/>
        <v>874.1816</v>
      </c>
      <c r="G38" s="14">
        <f t="shared" si="21"/>
        <v>900.40704800000003</v>
      </c>
      <c r="H38" s="14">
        <f t="shared" si="21"/>
        <v>927.41925944000002</v>
      </c>
      <c r="I38" s="14">
        <f t="shared" si="21"/>
        <v>955.24183722320004</v>
      </c>
      <c r="J38" s="14">
        <f t="shared" si="21"/>
        <v>983.89909233989601</v>
      </c>
      <c r="K38" s="14">
        <f t="shared" si="21"/>
        <v>1013.416065110093</v>
      </c>
      <c r="L38" s="14">
        <f t="shared" si="21"/>
        <v>1043.8185470633957</v>
      </c>
    </row>
    <row r="39" spans="1:13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4356</v>
      </c>
      <c r="D39" s="19">
        <f>((D11*15*180)+(D12*15*180)+(D17*20*180)+(D16*20*180)+(D13*15*180)+(D14*10*120))/2000*B39</f>
        <v>5567.76</v>
      </c>
      <c r="E39" s="19">
        <f>((E11*15*180)+(E12*15*180)+(E17*20*180)+(E16*20*180)+(E13*15*180)+(E14*10*120))/2000*B39</f>
        <v>6484.1760000000004</v>
      </c>
      <c r="F39" s="19">
        <f>((F11*15*180)+(F12*15*180)+(F17*20*180)+(F16*20*180)+(F13*15*180)+(F14*10*120))/2000*B39</f>
        <v>6958.69668</v>
      </c>
      <c r="G39" s="19">
        <f>((G11*15*180)+(G12*15*180)+(G17*20*180)+(G16*20*180)+(G13*15*180)+(G14*10*120))/2000*B39</f>
        <v>7442.5211423999981</v>
      </c>
      <c r="H39" s="19">
        <f>((H11*15*180)+(H12*15*180)+(H17*20*180)+(H16*20*180)+(H13*15*180)+(H14*10*120))/2000*B39</f>
        <v>7575.732383651999</v>
      </c>
      <c r="I39" s="19">
        <f>((I11*15*180)+(I12*15*180)+(I17*20*180)+(I16*20*180)+(I13*15*180)+(I14*10*120))/2000*B39</f>
        <v>7900.4935822089583</v>
      </c>
      <c r="J39" s="19">
        <f>((J11*15*180)+(J12*15*180)+(J17*20*180)+(J16*20*180)+(J13*15*180)+(J14*10*120))/2000*B39</f>
        <v>7922.5674169570284</v>
      </c>
      <c r="K39" s="19">
        <f>((K11*15*180)+(K12*15*180)+(K17*20*180)+(K16*20*180)+(K13*15*180)+(K14*10*120))/2000*B39</f>
        <v>7941.5934198474642</v>
      </c>
      <c r="L39" s="19">
        <f>((L11*15*180)+(L12*15*180)+(L17*20*180)+(L16*20*180)+(L13*15*180)+(L14*10*120))/2000*B39</f>
        <v>7980.3248171066734</v>
      </c>
    </row>
    <row r="40" spans="1:13" x14ac:dyDescent="0.25">
      <c r="A40" s="15" t="s">
        <v>46</v>
      </c>
      <c r="B40" s="22">
        <v>120</v>
      </c>
      <c r="C40" s="24">
        <f>((C11*3*180)+(C12*3*180)+(C16*5*180)+(C17*5*180)+(C13*4*180)+(C14*3*120))*(B40/2000)</f>
        <v>1036.8</v>
      </c>
      <c r="D40" s="24">
        <f>((D11*3*180)+(D12*3*180)+(D16*5*180)+(D17*5*180)+(D13*4*180)+(D14*3*120))*(B40/2000)</f>
        <v>1350.2159999999999</v>
      </c>
      <c r="E40" s="24">
        <f>((E11*3*180)+(E12*3*180)+(E16*5*180)+(E17*5*180)+(E13*4*180)+(E14*3*120))*(B40/2000)</f>
        <v>1554.8759999999997</v>
      </c>
      <c r="F40" s="24">
        <f>((F11*3*180)+(F12*3*180)+(F16*5*180)+(F17*5*180)+(F13*4*180)+(F14*3*120))*(B40/2000)</f>
        <v>1676.673</v>
      </c>
      <c r="G40" s="24">
        <f>((G11*3*180)+(G12*3*180)+(G16*5*180)+(G17*5*180)+(G13*4*180)+(G14*3*120))*(B40/2000)</f>
        <v>1792.2021335999998</v>
      </c>
      <c r="H40" s="24">
        <f>((H11*3*180)+(H12*3*180)+(H16*5*180)+(H17*5*180)+(H13*4*180)+(H14*3*120))*(B40/2000)</f>
        <v>1827.2235161880001</v>
      </c>
      <c r="I40" s="24">
        <f>((I11*3*180)+(I12*3*180)+(I16*5*180)+(I17*5*180)+(I13*4*180)+(I14*3*120))*(B40/2000)</f>
        <v>1903.0095187322395</v>
      </c>
      <c r="J40" s="24">
        <f>((J11*3*180)+(J12*3*180)+(J16*5*180)+(J17*5*180)+(J13*4*180)+(J14*3*120))*(B40/2000)</f>
        <v>1910.1969582199449</v>
      </c>
      <c r="K40" s="24">
        <f>((K11*3*180)+(K12*3*180)+(K16*5*180)+(K17*5*180)+(K13*4*180)+(K14*3*120))*(B40/2000)</f>
        <v>1913.3357999637158</v>
      </c>
      <c r="L40" s="24">
        <f>((L11*3*180)+(L12*3*180)+(L16*5*180)+(L17*5*180)+(L13*4*180)+(L14*3*120))*(B40/2000)</f>
        <v>1922.1979429165247</v>
      </c>
      <c r="M40" s="1" t="s">
        <v>47</v>
      </c>
    </row>
    <row r="41" spans="1:13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826</v>
      </c>
      <c r="D41" s="19">
        <f>((D11*0.5*365)+(D16*0.5*365)+(D17*0.5*365)+ (C12*0.5*365)+(D13*0.5*365)+(D14*0.5*120))*(B41/2000)</f>
        <v>1066.17</v>
      </c>
      <c r="E41" s="19">
        <f>((E11*0.5*365)+(E16*0.5*365)+(E17*0.5*365)+ (D12*0.5*365)+(E13*0.5*365)+(E14*0.5*120))*(B41/2000)</f>
        <v>1114.489</v>
      </c>
      <c r="F41" s="19">
        <f>((F11*0.5*365)+(F16*0.5*365)+(F17*0.5*365)+ (E12*0.5*365)+(F13*0.5*365)+(F14*0.5*120))*(B41/2000)</f>
        <v>1343.8009200000004</v>
      </c>
      <c r="G41" s="19">
        <f>((G11*0.5*365)+(G16*0.5*365)+(G17*0.5*365)+ (F12*0.5*365)+(G13*0.5*365)+(G14*0.5*120))*(B41/2000)</f>
        <v>1398.2188885999999</v>
      </c>
      <c r="H41" s="19">
        <f>((H11*0.5*365)+(H16*0.5*365)+(H17*0.5*365)+ (G12*0.5*365)+(H13*0.5*365)+(H14*0.5*120))*(B41/2000)</f>
        <v>1456.397199278</v>
      </c>
      <c r="I41" s="19">
        <f>((I11*0.5*365)+(I16*0.5*365)+(I17*0.5*365)+ (H12*0.5*365)+(I13*0.5*365)+(I14*0.5*120))*(B41/2000)</f>
        <v>1510.8152029399398</v>
      </c>
      <c r="J41" s="19">
        <f>((J11*0.5*365)+(J16*0.5*365)+(J17*0.5*365)+ (I12*0.5*365)+(J13*0.5*365)+(J14*0.5*120))*(B41/2000)</f>
        <v>1526.1394185862659</v>
      </c>
      <c r="K41" s="19">
        <f>((K11*0.5*365)+(K16*0.5*365)+(K17*0.5*365)+ (J12*0.5*365)+(K13*0.5*365)+(K14*0.5*120))*(B41/2000)</f>
        <v>1515.4897983936594</v>
      </c>
      <c r="L41" s="19">
        <f>((L11*0.5*365)+(L16*0.5*365)+(L17*0.5*365)+ (K12*0.5*365)+(L13*0.5*365)+(L14*0.5*120))*(B41/2000)</f>
        <v>1537.9108970161087</v>
      </c>
      <c r="M41" s="1" t="s">
        <v>49</v>
      </c>
    </row>
    <row r="42" spans="1:13" x14ac:dyDescent="0.25">
      <c r="A42" s="15" t="s">
        <v>50</v>
      </c>
      <c r="B42" s="22">
        <v>15</v>
      </c>
      <c r="C42" s="19">
        <f>(C11+C16+C12+C17+C13+C14)*B42</f>
        <v>420</v>
      </c>
      <c r="D42" s="19">
        <f>(D11+D16+D12+D17+D13+D14)*B42</f>
        <v>518.69999999999993</v>
      </c>
      <c r="E42" s="19">
        <f>(E11+E16+E12+E17+E13+E14)*B42</f>
        <v>616.29</v>
      </c>
      <c r="F42" s="19">
        <f>(F11+F16+F12+F17+F13+F14)*B42</f>
        <v>651.36119999999994</v>
      </c>
      <c r="G42" s="19">
        <f>(G11+G16+G12+G17+G13+G14)*B42</f>
        <v>691.60839599999997</v>
      </c>
      <c r="H42" s="19">
        <f>(H11+H16+H12+H17+H13+H14)*B42</f>
        <v>699.02838257999997</v>
      </c>
      <c r="I42" s="19">
        <f>(I11+I16+I12+I17+I13+I14)*B42</f>
        <v>731.96587977839988</v>
      </c>
      <c r="J42" s="19">
        <f>(J11+J16+J12+J17+J13+J14)*B42</f>
        <v>733.56615260908188</v>
      </c>
      <c r="K42" s="19">
        <f>(K11+K16+K12+K17+K13+K14)*B42</f>
        <v>736.29728918902515</v>
      </c>
      <c r="L42" s="19">
        <f>(L11+L16+L12+L17+L13+L14)*B42</f>
        <v>741.37853215141013</v>
      </c>
    </row>
    <row r="43" spans="1:13" x14ac:dyDescent="0.25">
      <c r="A43" s="15" t="s">
        <v>51</v>
      </c>
      <c r="B43" s="22">
        <v>10</v>
      </c>
      <c r="C43" s="19">
        <f>(C11+C16+C12+C17+C13+C14)*B43</f>
        <v>280</v>
      </c>
      <c r="D43" s="19">
        <f>(D11+D16+D12+D17+D13+D14)*B43</f>
        <v>345.79999999999995</v>
      </c>
      <c r="E43" s="19">
        <f>(E11+E16+E12+E17+E13+E14)*B43</f>
        <v>410.86</v>
      </c>
      <c r="F43" s="19">
        <f>(F11+F16+F12+F17+F13+F14)*B43</f>
        <v>434.24079999999998</v>
      </c>
      <c r="G43" s="19">
        <f>(G11+G16+G12+G17+G13+G14)*B43</f>
        <v>461.07226399999996</v>
      </c>
      <c r="H43" s="19">
        <f>(H11+H16+H12+H17+H13+H14)*B43</f>
        <v>466.01892171999998</v>
      </c>
      <c r="I43" s="19">
        <f>(I11+I16+I12+I17+I13+I14)*B43</f>
        <v>487.97725318559992</v>
      </c>
      <c r="J43" s="19">
        <f>(J11+J16+J12+J17+J13+J14)*B43</f>
        <v>489.04410173938794</v>
      </c>
      <c r="K43" s="19">
        <f>(K11+K16+K12+K17+K13+K14)*B43</f>
        <v>490.8648594593501</v>
      </c>
      <c r="L43" s="19">
        <f>(L11+L16+L12+L17+L13+L14)*B43</f>
        <v>494.25235476760679</v>
      </c>
    </row>
    <row r="44" spans="1:13" x14ac:dyDescent="0.25">
      <c r="A44" s="15" t="s">
        <v>52</v>
      </c>
      <c r="B44" s="22">
        <v>40</v>
      </c>
      <c r="C44" s="19">
        <f>(C11+C16+C12+C17+C13+C14)*B44</f>
        <v>1120</v>
      </c>
      <c r="D44" s="19">
        <f>(D11+D16+D12+D17+D13+D14)*B44</f>
        <v>1383.1999999999998</v>
      </c>
      <c r="E44" s="19">
        <f>(E11+E16+E12+E17+E13+E14)*B44</f>
        <v>1643.44</v>
      </c>
      <c r="F44" s="19">
        <f>(F11+F16+F12+F17+F13+F14)*B44</f>
        <v>1736.9631999999999</v>
      </c>
      <c r="G44" s="19">
        <f>(G11+G16+G12+G17+G13+G14)*B44</f>
        <v>1844.2890559999998</v>
      </c>
      <c r="H44" s="19">
        <f>(H11+H16+H12+H17+H13+H14)*B44</f>
        <v>1864.0756868799999</v>
      </c>
      <c r="I44" s="19">
        <f>(I11+I16+I12+I17+I13+I14)*B44</f>
        <v>1951.9090127423997</v>
      </c>
      <c r="J44" s="19">
        <f>(J11+J16+J12+J17+J13+J14)*B44</f>
        <v>1956.1764069575518</v>
      </c>
      <c r="K44" s="19">
        <f>(K11+K16+K12+K17+K13+K14)*B44</f>
        <v>1963.4594378374004</v>
      </c>
      <c r="L44" s="19">
        <f>(L11+L16+L12+L17+L13+L14)*B44</f>
        <v>1977.0094190704272</v>
      </c>
    </row>
    <row r="45" spans="1:13" x14ac:dyDescent="0.25">
      <c r="A45" s="15" t="s">
        <v>53</v>
      </c>
      <c r="B45" s="22">
        <v>30</v>
      </c>
      <c r="C45" s="19">
        <f>(C11+C16+C12+C17+C13+C14)*B45</f>
        <v>840</v>
      </c>
      <c r="D45" s="19">
        <f>(D11+D16+D12+D17+D13+D14)*B45</f>
        <v>1037.3999999999999</v>
      </c>
      <c r="E45" s="19">
        <f>(E11+E16+E12+E17+E13+E14)*B45</f>
        <v>1232.58</v>
      </c>
      <c r="F45" s="19">
        <f>(F11+F16+F12+F17+F13+F14)*B45</f>
        <v>1302.7223999999999</v>
      </c>
      <c r="G45" s="19">
        <f>(G11+G16+G12+G17+G13+G14)*B45</f>
        <v>1383.2167919999999</v>
      </c>
      <c r="H45" s="19">
        <f>(H11+H16+H12+H17+H13+H14)*B45</f>
        <v>1398.0567651599999</v>
      </c>
      <c r="I45" s="19">
        <f>(I11+I16+I12+I17+I13+I14)*B45</f>
        <v>1463.9317595567998</v>
      </c>
      <c r="J45" s="19">
        <f>(J11+J16+J12+J17+J13+J14)*B45</f>
        <v>1467.1323052181638</v>
      </c>
      <c r="K45" s="19">
        <f>(K11+K16+K12+K17+K13+K14)*B45</f>
        <v>1472.5945783780503</v>
      </c>
      <c r="L45" s="19">
        <f>(L11+L16+L12+L17+L13+L14)*B45</f>
        <v>1482.7570643028203</v>
      </c>
    </row>
    <row r="46" spans="1:13" x14ac:dyDescent="0.25">
      <c r="A46" s="11" t="s">
        <v>54</v>
      </c>
      <c r="B46" s="11"/>
      <c r="C46" s="19">
        <f>SUM(C36:C45)</f>
        <v>12206.8</v>
      </c>
      <c r="D46" s="19">
        <f t="shared" ref="D46:L46" si="22">SUM(D36:D45)</f>
        <v>15423.645999999999</v>
      </c>
      <c r="E46" s="19">
        <f t="shared" si="22"/>
        <v>18039.550999999999</v>
      </c>
      <c r="F46" s="19">
        <f t="shared" si="22"/>
        <v>19306.045799999996</v>
      </c>
      <c r="G46" s="19">
        <f t="shared" si="22"/>
        <v>20426.371020599996</v>
      </c>
      <c r="H46" s="19">
        <f t="shared" si="22"/>
        <v>20750.066429897997</v>
      </c>
      <c r="I46" s="19">
        <f t="shared" si="22"/>
        <v>21650.185524617533</v>
      </c>
      <c r="J46" s="19">
        <f t="shared" si="22"/>
        <v>21812.871969914821</v>
      </c>
      <c r="K46" s="19">
        <f t="shared" si="22"/>
        <v>21944.942607349385</v>
      </c>
      <c r="L46" s="19">
        <f t="shared" si="22"/>
        <v>22160.159950196932</v>
      </c>
    </row>
    <row r="47" spans="1:13" x14ac:dyDescent="0.25">
      <c r="A47" s="15" t="s">
        <v>55</v>
      </c>
      <c r="B47" s="15"/>
      <c r="C47" s="19">
        <f t="shared" ref="C47:L47" si="23">C46/(C11+C16+C13+C14)</f>
        <v>488.27199999999999</v>
      </c>
      <c r="D47" s="19">
        <f t="shared" si="23"/>
        <v>502.39889250814332</v>
      </c>
      <c r="E47" s="19">
        <f t="shared" si="23"/>
        <v>541.30561723579183</v>
      </c>
      <c r="F47" s="19">
        <f t="shared" si="23"/>
        <v>555.99878236958705</v>
      </c>
      <c r="G47" s="19">
        <f t="shared" si="23"/>
        <v>559.44288532600888</v>
      </c>
      <c r="H47" s="19">
        <f t="shared" si="23"/>
        <v>562.76549492649428</v>
      </c>
      <c r="I47" s="19">
        <f t="shared" si="23"/>
        <v>555.60864268310695</v>
      </c>
      <c r="J47" s="19">
        <f t="shared" si="23"/>
        <v>562.04846044519786</v>
      </c>
      <c r="K47" s="19">
        <f t="shared" si="23"/>
        <v>567.28927683008726</v>
      </c>
      <c r="L47" s="19">
        <f t="shared" si="23"/>
        <v>567.8569316552273</v>
      </c>
    </row>
    <row r="48" spans="1:13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3" x14ac:dyDescent="0.25">
      <c r="A49" s="11" t="s">
        <v>56</v>
      </c>
      <c r="B49" s="11"/>
      <c r="C49" s="19">
        <f>C32-C46</f>
        <v>-4976.7999999999993</v>
      </c>
      <c r="D49" s="19">
        <f t="shared" ref="D49:L49" si="24">D32-D46</f>
        <v>1467.3540000000012</v>
      </c>
      <c r="E49" s="19">
        <f t="shared" si="24"/>
        <v>4174.719000000001</v>
      </c>
      <c r="F49" s="19">
        <f t="shared" si="24"/>
        <v>4216.9523000000045</v>
      </c>
      <c r="G49" s="19">
        <f t="shared" si="24"/>
        <v>11008.127767400005</v>
      </c>
      <c r="H49" s="19">
        <f t="shared" si="24"/>
        <v>11057.070454842007</v>
      </c>
      <c r="I49" s="19">
        <f t="shared" si="24"/>
        <v>18765.781665240174</v>
      </c>
      <c r="J49" s="19">
        <f t="shared" si="24"/>
        <v>20303.126257023854</v>
      </c>
      <c r="K49" s="19">
        <f t="shared" si="24"/>
        <v>22081.215941512233</v>
      </c>
      <c r="L49" s="19">
        <f t="shared" si="24"/>
        <v>23862.797675983958</v>
      </c>
    </row>
    <row r="50" spans="1:13" x14ac:dyDescent="0.25">
      <c r="A50" s="15" t="s">
        <v>57</v>
      </c>
      <c r="B50" s="15"/>
      <c r="C50" s="19">
        <f t="shared" ref="C50:L50" si="25">C49/(C16+C11)</f>
        <v>-292.75294117647053</v>
      </c>
      <c r="D50" s="19">
        <f t="shared" si="25"/>
        <v>77.967800212539913</v>
      </c>
      <c r="E50" s="19">
        <f t="shared" si="25"/>
        <v>214.02230083051373</v>
      </c>
      <c r="F50" s="19">
        <f t="shared" si="25"/>
        <v>210.23499023844542</v>
      </c>
      <c r="G50" s="19">
        <f t="shared" si="25"/>
        <v>511.54920298975503</v>
      </c>
      <c r="H50" s="19">
        <f t="shared" si="25"/>
        <v>505.7258031722472</v>
      </c>
      <c r="I50" s="19">
        <f t="shared" si="25"/>
        <v>804.38760050594328</v>
      </c>
      <c r="J50" s="19">
        <f t="shared" si="25"/>
        <v>886.46745721412412</v>
      </c>
      <c r="K50" s="19">
        <f t="shared" si="25"/>
        <v>970.94483061018639</v>
      </c>
      <c r="L50" s="19">
        <f t="shared" si="25"/>
        <v>1042.5062873467966</v>
      </c>
    </row>
    <row r="51" spans="1:13" x14ac:dyDescent="0.25">
      <c r="A51" s="16" t="s">
        <v>58</v>
      </c>
      <c r="B51" s="16"/>
      <c r="C51" s="17">
        <f>(C49/(((C11+C12+C13)*C26)+((C16+C17)*C29)+(((C14*0.5)-C21)*C22)+D8))*100</f>
        <v>-5.9247619047619038</v>
      </c>
      <c r="D51" s="17">
        <f>(D49/(((D11+D12+D13)*D26)+((D16+D17)*D29)+(((D14*0.5)-D21)*D22)+E8))*100</f>
        <v>1.1886924054642365</v>
      </c>
      <c r="E51" s="17">
        <f t="shared" ref="E51:L51" si="26">(E49/(((E11+E12+E13)*E26)+((E16+E17)*E29)+(((E14*0.5)-E21)*E22)+F8))*100</f>
        <v>4.5957337810440775</v>
      </c>
      <c r="F51" s="17">
        <f t="shared" si="26"/>
        <v>4.0290426895430951</v>
      </c>
      <c r="G51" s="17">
        <f t="shared" si="26"/>
        <v>9.2172394188028832</v>
      </c>
      <c r="H51" s="17">
        <f t="shared" si="26"/>
        <v>8.5517848250810928</v>
      </c>
      <c r="I51" s="17">
        <f t="shared" si="26"/>
        <v>13.304819603846644</v>
      </c>
      <c r="J51" s="17">
        <f t="shared" si="26"/>
        <v>13.707827139509424</v>
      </c>
      <c r="K51" s="17">
        <f t="shared" si="26"/>
        <v>14.214028879742861</v>
      </c>
      <c r="L51" s="17">
        <f t="shared" si="26"/>
        <v>14.612197548226884</v>
      </c>
      <c r="M51" s="27">
        <f>SUM(C51:L51)/10</f>
        <v>7.7496604386499301</v>
      </c>
    </row>
    <row r="52" spans="1:13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3" x14ac:dyDescent="0.25">
      <c r="A53" s="5" t="s">
        <v>88</v>
      </c>
      <c r="C53" s="26">
        <f>(C32-C46)/A8*100</f>
        <v>-4.4675044883303405</v>
      </c>
      <c r="D53" s="26">
        <f>((D32-D46))/A8*100</f>
        <v>1.3171938958707372</v>
      </c>
      <c r="E53" s="26">
        <f>((E32-E46))/A8*100</f>
        <v>3.7475035906642735</v>
      </c>
      <c r="F53" s="26">
        <f>((F32-F46))/A8*100</f>
        <v>3.7854149910233432</v>
      </c>
      <c r="G53" s="26">
        <f>((G32-G46))/A8*100</f>
        <v>9.8816227714542233</v>
      </c>
      <c r="H53" s="26">
        <f>((H32-H46))/A8*100</f>
        <v>9.9255569612585344</v>
      </c>
      <c r="I53" s="26">
        <f>((I32-I46))/A8*100</f>
        <v>16.845405444560299</v>
      </c>
      <c r="J53" s="26">
        <f>((J32-J46))/A8*100</f>
        <v>18.225427519770065</v>
      </c>
      <c r="K53" s="26">
        <f>((K32-K46))/A8*100</f>
        <v>19.821558295791949</v>
      </c>
      <c r="L53" s="26">
        <f>((L32-L46))/A8*100</f>
        <v>21.420823766592424</v>
      </c>
      <c r="M53" s="30">
        <f>SUM(C53:L53)/10</f>
        <v>10.050300274865551</v>
      </c>
    </row>
    <row r="54" spans="1:13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L19</f>
        <v>124222.27137075405</v>
      </c>
      <c r="C56" s="29"/>
    </row>
    <row r="57" spans="1:13" x14ac:dyDescent="0.25">
      <c r="A57" s="1" t="s">
        <v>61</v>
      </c>
      <c r="B57" s="34">
        <f>(C8+D8)*0.5</f>
        <v>33200</v>
      </c>
      <c r="C57" s="29">
        <v>0.5</v>
      </c>
    </row>
    <row r="58" spans="1:13" x14ac:dyDescent="0.25">
      <c r="A58" s="5" t="s">
        <v>62</v>
      </c>
      <c r="B58" s="33">
        <f>SUM(B56:B57)</f>
        <v>157422.27137075405</v>
      </c>
      <c r="D58" s="1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G3" sqref="G3"/>
    </sheetView>
  </sheetViews>
  <sheetFormatPr defaultColWidth="11.42578125" defaultRowHeight="15.75" x14ac:dyDescent="0.25"/>
  <cols>
    <col min="1" max="1" width="27.5703125" style="1" customWidth="1"/>
    <col min="2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1" width="13.7109375" style="1" customWidth="1"/>
    <col min="12" max="12" width="14.85546875" style="1" customWidth="1"/>
    <col min="13" max="13" width="12.7109375" style="1" customWidth="1"/>
    <col min="14" max="22" width="10.7109375" style="1" customWidth="1"/>
    <col min="23" max="16384" width="11.42578125" style="1"/>
  </cols>
  <sheetData>
    <row r="1" spans="1:14" ht="23.25" x14ac:dyDescent="0.35">
      <c r="E1" s="2" t="s">
        <v>0</v>
      </c>
      <c r="N1" s="3" t="s">
        <v>1</v>
      </c>
    </row>
    <row r="2" spans="1:14" ht="23.25" x14ac:dyDescent="0.35">
      <c r="E2" s="2"/>
      <c r="N2" s="1" t="s">
        <v>85</v>
      </c>
    </row>
    <row r="3" spans="1:14" ht="18.75" x14ac:dyDescent="0.3">
      <c r="A3" s="4" t="s">
        <v>3</v>
      </c>
      <c r="B3" s="4"/>
      <c r="N3" s="1" t="s">
        <v>84</v>
      </c>
    </row>
    <row r="4" spans="1:14" x14ac:dyDescent="0.25">
      <c r="A4" s="5"/>
      <c r="B4" s="5"/>
      <c r="I4" s="6"/>
      <c r="L4" s="6"/>
      <c r="M4" s="6"/>
      <c r="N4" s="1" t="s">
        <v>5</v>
      </c>
    </row>
    <row r="5" spans="1:14" x14ac:dyDescent="0.25">
      <c r="A5" s="5" t="s">
        <v>6</v>
      </c>
      <c r="B5" s="5"/>
      <c r="I5" s="6"/>
      <c r="N5" s="1" t="s">
        <v>7</v>
      </c>
    </row>
    <row r="6" spans="1:14" x14ac:dyDescent="0.25">
      <c r="I6" s="6"/>
      <c r="J6" s="6"/>
      <c r="N6" s="1" t="s">
        <v>8</v>
      </c>
    </row>
    <row r="7" spans="1:14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H7" s="7"/>
      <c r="J7" s="7"/>
      <c r="L7" s="7"/>
      <c r="N7" s="1" t="s">
        <v>13</v>
      </c>
    </row>
    <row r="8" spans="1:14" s="5" customFormat="1" x14ac:dyDescent="0.25">
      <c r="A8" s="32">
        <f>SUM(C8:G8)</f>
        <v>91400</v>
      </c>
      <c r="B8" s="32"/>
      <c r="C8" s="31">
        <v>40000</v>
      </c>
      <c r="D8" s="31">
        <v>26400</v>
      </c>
      <c r="E8" s="33">
        <v>25000</v>
      </c>
      <c r="H8" s="7"/>
      <c r="J8" s="7"/>
      <c r="K8" s="9"/>
      <c r="L8" s="10"/>
      <c r="N8" s="1" t="s">
        <v>14</v>
      </c>
    </row>
    <row r="9" spans="1:14" s="5" customFormat="1" x14ac:dyDescent="0.25">
      <c r="A9" s="7"/>
      <c r="B9" s="7"/>
      <c r="D9" s="8"/>
      <c r="F9" s="8"/>
      <c r="H9" s="7"/>
      <c r="J9" s="7"/>
      <c r="K9" s="9"/>
      <c r="L9" s="10"/>
      <c r="N9" s="5" t="s">
        <v>15</v>
      </c>
    </row>
    <row r="10" spans="1:14" x14ac:dyDescent="0.25">
      <c r="A10" s="11" t="s">
        <v>16</v>
      </c>
      <c r="B10" s="11" t="s">
        <v>17</v>
      </c>
      <c r="C10" s="8">
        <v>1</v>
      </c>
      <c r="D10" s="8">
        <f>SUM(C10+1)</f>
        <v>2</v>
      </c>
      <c r="E10" s="8">
        <f t="shared" ref="E10:L10" si="0">SUM(D10+1)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</row>
    <row r="11" spans="1:14" x14ac:dyDescent="0.25">
      <c r="A11" s="12" t="s">
        <v>18</v>
      </c>
      <c r="B11" s="12"/>
      <c r="C11" s="13">
        <v>10</v>
      </c>
      <c r="D11" s="14">
        <f t="shared" ref="D11:L11" si="1">(C11+C12)-C25</f>
        <v>10</v>
      </c>
      <c r="E11" s="14">
        <f t="shared" si="1"/>
        <v>10</v>
      </c>
      <c r="F11" s="14">
        <f t="shared" si="1"/>
        <v>9.879999999999999</v>
      </c>
      <c r="G11" s="14">
        <f t="shared" si="1"/>
        <v>9.759999999999998</v>
      </c>
      <c r="H11" s="14">
        <f t="shared" si="1"/>
        <v>9.580899999999998</v>
      </c>
      <c r="I11" s="14">
        <f t="shared" si="1"/>
        <v>10.355239999999998</v>
      </c>
      <c r="J11" s="14">
        <f t="shared" si="1"/>
        <v>10.311188249999997</v>
      </c>
      <c r="K11" s="14">
        <f t="shared" si="1"/>
        <v>10.186354899999996</v>
      </c>
      <c r="L11" s="14">
        <f t="shared" si="1"/>
        <v>10.406005470624995</v>
      </c>
    </row>
    <row r="12" spans="1:14" x14ac:dyDescent="0.25">
      <c r="A12" s="12" t="s">
        <v>19</v>
      </c>
      <c r="B12" s="12"/>
      <c r="C12" s="13">
        <v>0</v>
      </c>
      <c r="D12" s="14">
        <f t="shared" ref="D12:L12" si="2">C13</f>
        <v>0</v>
      </c>
      <c r="E12" s="14">
        <f t="shared" si="2"/>
        <v>3.88</v>
      </c>
      <c r="F12" s="14">
        <f t="shared" si="2"/>
        <v>3.88</v>
      </c>
      <c r="G12" s="14">
        <f t="shared" si="2"/>
        <v>4.8209</v>
      </c>
      <c r="H12" s="14">
        <f t="shared" si="2"/>
        <v>4.7743399999999996</v>
      </c>
      <c r="I12" s="14">
        <f t="shared" si="2"/>
        <v>4.9559482499999996</v>
      </c>
      <c r="J12" s="14">
        <f t="shared" si="2"/>
        <v>4.8751666499999988</v>
      </c>
      <c r="K12" s="14">
        <f t="shared" si="2"/>
        <v>5.2196505706249994</v>
      </c>
      <c r="L12" s="14">
        <f t="shared" si="2"/>
        <v>5.1829689536249992</v>
      </c>
    </row>
    <row r="13" spans="1:14" x14ac:dyDescent="0.25">
      <c r="A13" s="12" t="s">
        <v>20</v>
      </c>
      <c r="B13" s="12"/>
      <c r="C13" s="13">
        <v>0</v>
      </c>
      <c r="D13" s="14">
        <f t="shared" ref="D13:L13" si="3">(C14*0.5)*0.97</f>
        <v>3.88</v>
      </c>
      <c r="E13" s="14">
        <f t="shared" si="3"/>
        <v>3.88</v>
      </c>
      <c r="F13" s="14">
        <f t="shared" si="3"/>
        <v>4.8209</v>
      </c>
      <c r="G13" s="14">
        <f t="shared" si="3"/>
        <v>4.7743399999999996</v>
      </c>
      <c r="H13" s="14">
        <f t="shared" si="3"/>
        <v>4.9559482499999996</v>
      </c>
      <c r="I13" s="14">
        <f t="shared" si="3"/>
        <v>4.8751666499999988</v>
      </c>
      <c r="J13" s="14">
        <f t="shared" si="3"/>
        <v>5.2196505706249994</v>
      </c>
      <c r="K13" s="14">
        <f t="shared" si="3"/>
        <v>5.1829689536249992</v>
      </c>
      <c r="L13" s="14">
        <f t="shared" si="3"/>
        <v>5.2180709645765608</v>
      </c>
    </row>
    <row r="14" spans="1:14" x14ac:dyDescent="0.25">
      <c r="A14" s="15" t="s">
        <v>21</v>
      </c>
      <c r="B14" s="15"/>
      <c r="C14" s="14">
        <f t="shared" ref="C14:L14" si="4">((C11*C15)+(C12*0.5))</f>
        <v>8</v>
      </c>
      <c r="D14" s="14">
        <f t="shared" si="4"/>
        <v>8</v>
      </c>
      <c r="E14" s="14">
        <f t="shared" si="4"/>
        <v>9.94</v>
      </c>
      <c r="F14" s="14">
        <f t="shared" si="4"/>
        <v>9.8439999999999994</v>
      </c>
      <c r="G14" s="14">
        <f t="shared" si="4"/>
        <v>10.218449999999999</v>
      </c>
      <c r="H14" s="14">
        <f t="shared" si="4"/>
        <v>10.051889999999998</v>
      </c>
      <c r="I14" s="14">
        <f t="shared" si="4"/>
        <v>10.762166124999998</v>
      </c>
      <c r="J14" s="14">
        <f t="shared" si="4"/>
        <v>10.686533924999999</v>
      </c>
      <c r="K14" s="14">
        <f t="shared" si="4"/>
        <v>10.758909205312497</v>
      </c>
      <c r="L14" s="14">
        <f t="shared" si="4"/>
        <v>10.916288853312496</v>
      </c>
    </row>
    <row r="15" spans="1:14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  <c r="H15" s="17">
        <v>0.8</v>
      </c>
      <c r="I15" s="17">
        <v>0.8</v>
      </c>
      <c r="J15" s="17">
        <v>0.8</v>
      </c>
      <c r="K15" s="17">
        <v>0.8</v>
      </c>
      <c r="L15" s="17">
        <v>0.8</v>
      </c>
    </row>
    <row r="16" spans="1:14" x14ac:dyDescent="0.25">
      <c r="A16" s="15" t="s">
        <v>23</v>
      </c>
      <c r="B16" s="15"/>
      <c r="C16" s="18">
        <v>1</v>
      </c>
      <c r="D16" s="14">
        <f t="shared" ref="D16:L16" si="5">((C16+C17)-(C23+C28))*0.98</f>
        <v>0.98</v>
      </c>
      <c r="E16" s="14">
        <f t="shared" si="5"/>
        <v>4.7627999999999995</v>
      </c>
      <c r="F16" s="14">
        <f t="shared" si="5"/>
        <v>7.4899439999999995</v>
      </c>
      <c r="G16" s="14">
        <f t="shared" si="5"/>
        <v>12.064627119999999</v>
      </c>
      <c r="H16" s="14">
        <f t="shared" si="5"/>
        <v>12.5821877776</v>
      </c>
      <c r="I16" s="14">
        <f t="shared" si="5"/>
        <v>13.267373307048</v>
      </c>
      <c r="J16" s="14">
        <f t="shared" si="5"/>
        <v>12.879689157907041</v>
      </c>
      <c r="K16" s="14">
        <f t="shared" si="5"/>
        <v>12.8373529339614</v>
      </c>
      <c r="L16" s="14">
        <f t="shared" si="5"/>
        <v>12.75991544983467</v>
      </c>
    </row>
    <row r="17" spans="1:20" x14ac:dyDescent="0.25">
      <c r="A17" s="12" t="s">
        <v>24</v>
      </c>
      <c r="B17" s="12"/>
      <c r="C17" s="13">
        <v>0</v>
      </c>
      <c r="D17" s="14">
        <f t="shared" ref="D17:L17" si="6">(C14*0.5)*0.97</f>
        <v>3.88</v>
      </c>
      <c r="E17" s="14">
        <f t="shared" si="6"/>
        <v>3.88</v>
      </c>
      <c r="F17" s="14">
        <f t="shared" si="6"/>
        <v>4.8209</v>
      </c>
      <c r="G17" s="14">
        <f t="shared" si="6"/>
        <v>4.7743399999999996</v>
      </c>
      <c r="H17" s="14">
        <f t="shared" si="6"/>
        <v>4.9559482499999996</v>
      </c>
      <c r="I17" s="14">
        <f t="shared" si="6"/>
        <v>4.8751666499999988</v>
      </c>
      <c r="J17" s="14">
        <f t="shared" si="6"/>
        <v>5.2196505706249994</v>
      </c>
      <c r="K17" s="14">
        <f t="shared" si="6"/>
        <v>5.1829689536249992</v>
      </c>
      <c r="L17" s="14">
        <f t="shared" si="6"/>
        <v>5.2180709645765608</v>
      </c>
    </row>
    <row r="18" spans="1:20" x14ac:dyDescent="0.25">
      <c r="A18" s="15" t="s">
        <v>25</v>
      </c>
      <c r="B18" s="15"/>
      <c r="C18" s="14">
        <f t="shared" ref="C18:L18" si="7">SUM(C11:C17)</f>
        <v>19.8</v>
      </c>
      <c r="D18" s="14">
        <f t="shared" si="7"/>
        <v>27.54</v>
      </c>
      <c r="E18" s="14">
        <f t="shared" si="7"/>
        <v>37.142800000000001</v>
      </c>
      <c r="F18" s="14">
        <f t="shared" si="7"/>
        <v>41.535744000000001</v>
      </c>
      <c r="G18" s="14">
        <f t="shared" si="7"/>
        <v>47.212657120000003</v>
      </c>
      <c r="H18" s="14">
        <f t="shared" si="7"/>
        <v>47.701214277599995</v>
      </c>
      <c r="I18" s="14">
        <f t="shared" si="7"/>
        <v>49.891060982047996</v>
      </c>
      <c r="J18" s="14">
        <f t="shared" si="7"/>
        <v>49.991879124157037</v>
      </c>
      <c r="K18" s="14">
        <f t="shared" si="7"/>
        <v>50.168205517148884</v>
      </c>
      <c r="L18" s="14">
        <f t="shared" si="7"/>
        <v>50.501320656550284</v>
      </c>
    </row>
    <row r="19" spans="1:20" x14ac:dyDescent="0.25">
      <c r="A19" s="15" t="s">
        <v>26</v>
      </c>
      <c r="B19" s="15"/>
      <c r="C19" s="19">
        <f t="shared" ref="C19:L19" si="8">SUM(C11*C26)+((C16*0.25)*C24)+(C16*0.75*C29)+(C13*C22)+(C14*C22)+(C12*0.85*C26)+(C17*1000)</f>
        <v>18950</v>
      </c>
      <c r="D19" s="19">
        <f t="shared" si="8"/>
        <v>30018.75</v>
      </c>
      <c r="E19" s="19">
        <f t="shared" si="8"/>
        <v>52465.318050000002</v>
      </c>
      <c r="F19" s="19">
        <f t="shared" si="8"/>
        <v>68469.492376249997</v>
      </c>
      <c r="G19" s="19">
        <f t="shared" si="8"/>
        <v>93647.615662758137</v>
      </c>
      <c r="H19" s="19">
        <f t="shared" si="8"/>
        <v>100494.45173516386</v>
      </c>
      <c r="I19" s="19">
        <f t="shared" si="8"/>
        <v>110658.27386529304</v>
      </c>
      <c r="J19" s="19">
        <f t="shared" si="8"/>
        <v>114450.93941312398</v>
      </c>
      <c r="K19" s="19">
        <f t="shared" si="8"/>
        <v>119934.95999754409</v>
      </c>
      <c r="L19" s="19">
        <f t="shared" si="8"/>
        <v>125828.39160608323</v>
      </c>
    </row>
    <row r="20" spans="1:20" x14ac:dyDescent="0.25">
      <c r="A20" s="11" t="s">
        <v>27</v>
      </c>
      <c r="B20" s="11"/>
    </row>
    <row r="21" spans="1:20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20" x14ac:dyDescent="0.25">
      <c r="A22" s="15" t="s">
        <v>29</v>
      </c>
      <c r="B22" s="15"/>
      <c r="C22" s="19">
        <v>650</v>
      </c>
      <c r="D22" s="19">
        <v>1000</v>
      </c>
      <c r="E22" s="19">
        <f t="shared" ref="E22:L22" si="9">D22*1.05</f>
        <v>1050</v>
      </c>
      <c r="F22" s="19">
        <f t="shared" si="9"/>
        <v>1102.5</v>
      </c>
      <c r="G22" s="19">
        <f t="shared" si="9"/>
        <v>1157.625</v>
      </c>
      <c r="H22" s="19">
        <f t="shared" si="9"/>
        <v>1215.5062500000001</v>
      </c>
      <c r="I22" s="19">
        <f t="shared" si="9"/>
        <v>1276.2815625000003</v>
      </c>
      <c r="J22" s="19">
        <f t="shared" si="9"/>
        <v>1340.0956406250004</v>
      </c>
      <c r="K22" s="19">
        <f t="shared" si="9"/>
        <v>1407.1004226562504</v>
      </c>
      <c r="L22" s="19">
        <f t="shared" si="9"/>
        <v>1477.4554437890631</v>
      </c>
    </row>
    <row r="23" spans="1:20" x14ac:dyDescent="0.25">
      <c r="A23" s="12" t="s">
        <v>30</v>
      </c>
      <c r="B23" s="12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20" x14ac:dyDescent="0.25">
      <c r="A24" s="12" t="s">
        <v>31</v>
      </c>
      <c r="B24" s="12"/>
      <c r="C24" s="19">
        <v>1500</v>
      </c>
      <c r="D24" s="19">
        <f>C24*1.05</f>
        <v>1575</v>
      </c>
      <c r="E24" s="19">
        <f t="shared" ref="E24:L24" si="10">D24*1.05</f>
        <v>1653.75</v>
      </c>
      <c r="F24" s="19">
        <f t="shared" si="10"/>
        <v>1736.4375</v>
      </c>
      <c r="G24" s="19">
        <f t="shared" si="10"/>
        <v>1823.2593750000001</v>
      </c>
      <c r="H24" s="19">
        <f t="shared" si="10"/>
        <v>1914.4223437500002</v>
      </c>
      <c r="I24" s="19">
        <f t="shared" si="10"/>
        <v>2010.1434609375003</v>
      </c>
      <c r="J24" s="19">
        <f t="shared" si="10"/>
        <v>2110.6506339843754</v>
      </c>
      <c r="K24" s="19">
        <f t="shared" si="10"/>
        <v>2216.1831656835943</v>
      </c>
      <c r="L24" s="19">
        <f t="shared" si="10"/>
        <v>2326.9923239677742</v>
      </c>
      <c r="T24" s="14"/>
    </row>
    <row r="25" spans="1:20" x14ac:dyDescent="0.25">
      <c r="A25" s="15" t="s">
        <v>32</v>
      </c>
      <c r="B25" s="15"/>
      <c r="C25" s="18">
        <v>0</v>
      </c>
      <c r="D25" s="18">
        <v>0</v>
      </c>
      <c r="E25" s="18">
        <v>4</v>
      </c>
      <c r="F25" s="18">
        <v>4</v>
      </c>
      <c r="G25" s="18">
        <v>5</v>
      </c>
      <c r="H25" s="18">
        <v>4</v>
      </c>
      <c r="I25" s="18">
        <v>5</v>
      </c>
      <c r="J25" s="18">
        <v>5</v>
      </c>
      <c r="K25" s="18">
        <v>5</v>
      </c>
      <c r="L25" s="18">
        <v>5</v>
      </c>
    </row>
    <row r="26" spans="1:20" x14ac:dyDescent="0.25">
      <c r="A26" s="15" t="s">
        <v>33</v>
      </c>
      <c r="B26" s="15"/>
      <c r="C26" s="19">
        <v>1000</v>
      </c>
      <c r="D26" s="19">
        <f>C26*1.04</f>
        <v>1040</v>
      </c>
      <c r="E26" s="19">
        <f>D26*1.04</f>
        <v>1081.6000000000001</v>
      </c>
      <c r="F26" s="19">
        <f t="shared" ref="F26:L26" si="11">E26*1.05</f>
        <v>1135.6800000000003</v>
      </c>
      <c r="G26" s="19">
        <f t="shared" si="11"/>
        <v>1192.4640000000004</v>
      </c>
      <c r="H26" s="19">
        <f t="shared" si="11"/>
        <v>1252.0872000000004</v>
      </c>
      <c r="I26" s="19">
        <f t="shared" si="11"/>
        <v>1314.6915600000004</v>
      </c>
      <c r="J26" s="19">
        <f t="shared" si="11"/>
        <v>1380.4261380000005</v>
      </c>
      <c r="K26" s="19">
        <f t="shared" si="11"/>
        <v>1449.4474449000006</v>
      </c>
      <c r="L26" s="19">
        <f t="shared" si="11"/>
        <v>1521.9198171450007</v>
      </c>
    </row>
    <row r="27" spans="1:20" x14ac:dyDescent="0.25">
      <c r="A27" s="12" t="s">
        <v>34</v>
      </c>
      <c r="B27" s="12"/>
      <c r="C27" s="14">
        <f>C18*0.02</f>
        <v>0.39600000000000002</v>
      </c>
      <c r="D27" s="14">
        <f t="shared" ref="D27:L27" si="12">D18*0.02</f>
        <v>0.55079999999999996</v>
      </c>
      <c r="E27" s="14">
        <f t="shared" si="12"/>
        <v>0.74285600000000007</v>
      </c>
      <c r="F27" s="14">
        <f t="shared" si="12"/>
        <v>0.83071488000000004</v>
      </c>
      <c r="G27" s="14">
        <f t="shared" si="12"/>
        <v>0.94425314240000002</v>
      </c>
      <c r="H27" s="14">
        <f t="shared" si="12"/>
        <v>0.95402428555199992</v>
      </c>
      <c r="I27" s="14">
        <f t="shared" si="12"/>
        <v>0.99782121964095993</v>
      </c>
      <c r="J27" s="14">
        <f t="shared" si="12"/>
        <v>0.99983758248314081</v>
      </c>
      <c r="K27" s="14">
        <f t="shared" si="12"/>
        <v>1.0033641103429778</v>
      </c>
      <c r="L27" s="14">
        <f t="shared" si="12"/>
        <v>1.0100264131310057</v>
      </c>
    </row>
    <row r="28" spans="1:20" x14ac:dyDescent="0.25">
      <c r="A28" s="12" t="s">
        <v>35</v>
      </c>
      <c r="B28" s="12"/>
      <c r="C28" s="13">
        <v>0</v>
      </c>
      <c r="D28" s="13">
        <v>0</v>
      </c>
      <c r="E28" s="13">
        <v>1</v>
      </c>
      <c r="F28" s="13">
        <v>0</v>
      </c>
      <c r="G28" s="13">
        <v>4</v>
      </c>
      <c r="H28" s="13">
        <v>4</v>
      </c>
      <c r="I28" s="13">
        <v>5</v>
      </c>
      <c r="J28" s="13">
        <v>5</v>
      </c>
      <c r="K28" s="13">
        <v>5</v>
      </c>
      <c r="L28" s="13">
        <v>5</v>
      </c>
    </row>
    <row r="29" spans="1:20" x14ac:dyDescent="0.25">
      <c r="A29" s="12" t="s">
        <v>36</v>
      </c>
      <c r="B29" s="12"/>
      <c r="C29" s="19">
        <v>4500</v>
      </c>
      <c r="D29" s="19">
        <f t="shared" ref="D29:L29" si="13">C29*1.05</f>
        <v>4725</v>
      </c>
      <c r="E29" s="19">
        <f t="shared" si="13"/>
        <v>4961.25</v>
      </c>
      <c r="F29" s="19">
        <f t="shared" si="13"/>
        <v>5209.3125</v>
      </c>
      <c r="G29" s="19">
        <f t="shared" si="13"/>
        <v>5469.7781249999998</v>
      </c>
      <c r="H29" s="19">
        <f t="shared" si="13"/>
        <v>5743.2670312500004</v>
      </c>
      <c r="I29" s="19">
        <f t="shared" si="13"/>
        <v>6030.4303828125003</v>
      </c>
      <c r="J29" s="19">
        <f t="shared" si="13"/>
        <v>6331.9519019531253</v>
      </c>
      <c r="K29" s="19">
        <f t="shared" si="13"/>
        <v>6648.5494970507816</v>
      </c>
      <c r="L29" s="19">
        <f t="shared" si="13"/>
        <v>6980.9769719033211</v>
      </c>
    </row>
    <row r="30" spans="1:20" x14ac:dyDescent="0.25">
      <c r="A30" s="15" t="s">
        <v>37</v>
      </c>
      <c r="B30" s="15"/>
      <c r="C30" s="20">
        <f>((C16-C28)*12)+(C17*2)</f>
        <v>12</v>
      </c>
      <c r="D30" s="20">
        <f t="shared" ref="D30:L30" si="14">((D16-D28)*12)+(D17*2)</f>
        <v>19.52</v>
      </c>
      <c r="E30" s="20">
        <f t="shared" si="14"/>
        <v>52.913599999999995</v>
      </c>
      <c r="F30" s="20">
        <f t="shared" si="14"/>
        <v>99.52112799999999</v>
      </c>
      <c r="G30" s="20">
        <f t="shared" si="14"/>
        <v>106.32420544</v>
      </c>
      <c r="H30" s="20">
        <f t="shared" si="14"/>
        <v>112.8981498312</v>
      </c>
      <c r="I30" s="20">
        <f t="shared" si="14"/>
        <v>108.958812984576</v>
      </c>
      <c r="J30" s="20">
        <f t="shared" si="14"/>
        <v>104.99557103613449</v>
      </c>
      <c r="K30" s="20">
        <f t="shared" si="14"/>
        <v>104.41417311478681</v>
      </c>
      <c r="L30" s="20">
        <f t="shared" si="14"/>
        <v>103.55512732716916</v>
      </c>
    </row>
    <row r="31" spans="1:20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  <c r="H31" s="21">
        <v>35</v>
      </c>
      <c r="I31" s="21">
        <v>35</v>
      </c>
      <c r="J31" s="21">
        <v>35</v>
      </c>
      <c r="K31" s="21">
        <v>35</v>
      </c>
      <c r="L31" s="21">
        <v>35</v>
      </c>
    </row>
    <row r="32" spans="1:20" x14ac:dyDescent="0.25">
      <c r="A32" s="11" t="s">
        <v>39</v>
      </c>
      <c r="B32" s="11"/>
      <c r="C32" s="19">
        <f>(C21*C22)+(C23*C24)+(C25*C26)+(C28*C29)+(C30*C31)</f>
        <v>420</v>
      </c>
      <c r="D32" s="19">
        <f t="shared" ref="D32:L32" si="15">(D21*D22)+(D23*D24)+(D25*D26)+(D28*D29)+(D30*D31)</f>
        <v>683.19999999999993</v>
      </c>
      <c r="E32" s="19">
        <f t="shared" si="15"/>
        <v>11139.626000000002</v>
      </c>
      <c r="F32" s="19">
        <f t="shared" si="15"/>
        <v>8025.9594800000013</v>
      </c>
      <c r="G32" s="19">
        <f t="shared" si="15"/>
        <v>31562.779690400002</v>
      </c>
      <c r="H32" s="19">
        <f t="shared" si="15"/>
        <v>31932.852169092006</v>
      </c>
      <c r="I32" s="19">
        <f t="shared" si="15"/>
        <v>40539.168168522665</v>
      </c>
      <c r="J32" s="19">
        <f t="shared" si="15"/>
        <v>42236.735186030339</v>
      </c>
      <c r="K32" s="19">
        <f t="shared" si="15"/>
        <v>44144.480768771449</v>
      </c>
      <c r="L32" s="19">
        <f t="shared" si="15"/>
        <v>46138.913401692524</v>
      </c>
    </row>
    <row r="33" spans="1:13" x14ac:dyDescent="0.25">
      <c r="A33" s="15" t="s">
        <v>40</v>
      </c>
      <c r="B33" s="15"/>
      <c r="C33" s="19">
        <f t="shared" ref="C33:L33" si="16">C32/(C16+C11)</f>
        <v>38.18181818181818</v>
      </c>
      <c r="D33" s="19">
        <f t="shared" si="16"/>
        <v>62.222222222222214</v>
      </c>
      <c r="E33" s="19">
        <f t="shared" si="16"/>
        <v>754.57406454060231</v>
      </c>
      <c r="F33" s="19">
        <f t="shared" si="16"/>
        <v>462.06018165631406</v>
      </c>
      <c r="G33" s="19">
        <f t="shared" si="16"/>
        <v>1446.2001809632754</v>
      </c>
      <c r="H33" s="19">
        <f t="shared" si="16"/>
        <v>1440.8124215149392</v>
      </c>
      <c r="I33" s="19">
        <f t="shared" si="16"/>
        <v>1716.1169952533353</v>
      </c>
      <c r="J33" s="19">
        <f t="shared" si="16"/>
        <v>1821.2650795018874</v>
      </c>
      <c r="K33" s="19">
        <f t="shared" si="16"/>
        <v>1917.3488947621026</v>
      </c>
      <c r="L33" s="19">
        <f t="shared" si="16"/>
        <v>1991.6718856164091</v>
      </c>
    </row>
    <row r="34" spans="1:13" x14ac:dyDescent="0.25">
      <c r="C34" s="14"/>
    </row>
    <row r="35" spans="1:13" x14ac:dyDescent="0.25">
      <c r="A35" s="11" t="s">
        <v>41</v>
      </c>
      <c r="B35" s="11"/>
    </row>
    <row r="36" spans="1:13" x14ac:dyDescent="0.25">
      <c r="A36" s="15" t="s">
        <v>42</v>
      </c>
      <c r="B36" s="15"/>
      <c r="C36" s="19">
        <f t="shared" ref="C36:L36" si="17">((C11+C12+C13)*200)</f>
        <v>2000</v>
      </c>
      <c r="D36" s="19">
        <f t="shared" si="17"/>
        <v>2776</v>
      </c>
      <c r="E36" s="19">
        <f t="shared" si="17"/>
        <v>3551.9999999999995</v>
      </c>
      <c r="F36" s="19">
        <f t="shared" si="17"/>
        <v>3716.18</v>
      </c>
      <c r="G36" s="19">
        <f t="shared" si="17"/>
        <v>3871.0479999999998</v>
      </c>
      <c r="H36" s="19">
        <f t="shared" si="17"/>
        <v>3862.2376499999996</v>
      </c>
      <c r="I36" s="19">
        <f t="shared" si="17"/>
        <v>4037.2709799999993</v>
      </c>
      <c r="J36" s="19">
        <f t="shared" si="17"/>
        <v>4081.2010941249996</v>
      </c>
      <c r="K36" s="19">
        <f t="shared" si="17"/>
        <v>4117.7948848499991</v>
      </c>
      <c r="L36" s="19">
        <f t="shared" si="17"/>
        <v>4161.4090777653109</v>
      </c>
    </row>
    <row r="37" spans="1:13" x14ac:dyDescent="0.25">
      <c r="A37" s="15" t="s">
        <v>43</v>
      </c>
      <c r="B37" s="22">
        <v>0.02</v>
      </c>
      <c r="C37" s="19">
        <f>D8*B37</f>
        <v>528</v>
      </c>
      <c r="D37" s="14">
        <f t="shared" ref="D37:L37" si="18">C37*1.05</f>
        <v>554.4</v>
      </c>
      <c r="E37" s="14">
        <f t="shared" si="18"/>
        <v>582.12</v>
      </c>
      <c r="F37" s="14">
        <f t="shared" si="18"/>
        <v>611.226</v>
      </c>
      <c r="G37" s="14">
        <f t="shared" si="18"/>
        <v>641.78730000000007</v>
      </c>
      <c r="H37" s="14">
        <f t="shared" si="18"/>
        <v>673.87666500000012</v>
      </c>
      <c r="I37" s="14">
        <f t="shared" si="18"/>
        <v>707.57049825000013</v>
      </c>
      <c r="J37" s="14">
        <f t="shared" si="18"/>
        <v>742.94902316250011</v>
      </c>
      <c r="K37" s="14">
        <f t="shared" si="18"/>
        <v>780.09647432062513</v>
      </c>
      <c r="L37" s="14">
        <f t="shared" si="18"/>
        <v>819.10129803665643</v>
      </c>
    </row>
    <row r="38" spans="1:13" x14ac:dyDescent="0.25">
      <c r="A38" s="12" t="s">
        <v>44</v>
      </c>
      <c r="B38" s="23">
        <v>0.02</v>
      </c>
      <c r="C38" s="19">
        <f>C8*B38</f>
        <v>800</v>
      </c>
      <c r="D38" s="14">
        <f t="shared" ref="D38:L38" si="19">C38*1.03</f>
        <v>824</v>
      </c>
      <c r="E38" s="14">
        <f t="shared" si="19"/>
        <v>848.72</v>
      </c>
      <c r="F38" s="14">
        <f t="shared" si="19"/>
        <v>874.1816</v>
      </c>
      <c r="G38" s="14">
        <f t="shared" si="19"/>
        <v>900.40704800000003</v>
      </c>
      <c r="H38" s="14">
        <f t="shared" si="19"/>
        <v>927.41925944000002</v>
      </c>
      <c r="I38" s="14">
        <f t="shared" si="19"/>
        <v>955.24183722320004</v>
      </c>
      <c r="J38" s="14">
        <f t="shared" si="19"/>
        <v>983.89909233989601</v>
      </c>
      <c r="K38" s="14">
        <f t="shared" si="19"/>
        <v>1013.416065110093</v>
      </c>
      <c r="L38" s="14">
        <f t="shared" si="19"/>
        <v>1043.8185470633957</v>
      </c>
    </row>
    <row r="39" spans="1:13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2412</v>
      </c>
      <c r="D39" s="19">
        <f>((D11*15*180)+(D12*15*180)+(D17*20*180)+(D16*20*180)+(D13*15*180)+(D14*10*120))/2000*B39</f>
        <v>3874.32</v>
      </c>
      <c r="E39" s="19">
        <f>((E11*15*180)+(E12*15*180)+(E17*20*180)+(E16*20*180)+(E13*15*180)+(E14*10*120))/2000*B39</f>
        <v>5459.6448</v>
      </c>
      <c r="F39" s="19">
        <f>((F11*15*180)+(F12*15*180)+(F17*20*180)+(F16*20*180)+(F13*15*180)+(F14*10*120))/2000*B39</f>
        <v>6378.0161040000012</v>
      </c>
      <c r="G39" s="19">
        <f>((G11*15*180)+(G12*15*180)+(G17*20*180)+(G16*20*180)+(G13*15*180)+(G14*10*120))/2000*B39</f>
        <v>7508.4941779199989</v>
      </c>
      <c r="H39" s="19">
        <f>((H11*15*180)+(H12*15*180)+(H17*20*180)+(H16*20*180)+(H13*15*180)+(H14*10*120))/2000*B39</f>
        <v>7640.3859584615984</v>
      </c>
      <c r="I39" s="19">
        <f>((I11*15*180)+(I12*15*180)+(I17*20*180)+(I16*20*180)+(I13*15*180)+(I14*10*120))/2000*B39</f>
        <v>7963.8540855223673</v>
      </c>
      <c r="J39" s="19">
        <f>((J11*15*180)+(J12*15*180)+(J17*20*180)+(J16*20*180)+(J13*15*180)+(J14*10*120))/2000*B39</f>
        <v>7984.6607102041698</v>
      </c>
      <c r="K39" s="19">
        <f>((K11*15*180)+(K12*15*180)+(K17*20*180)+(K16*20*180)+(K13*15*180)+(K14*10*120))/2000*B39</f>
        <v>8002.4448472296617</v>
      </c>
      <c r="L39" s="19">
        <f>((L11*15*180)+(L12*15*180)+(L17*20*180)+(L16*20*180)+(L13*15*180)+(L14*10*120))/2000*B39</f>
        <v>8039.9592159412268</v>
      </c>
    </row>
    <row r="40" spans="1:13" x14ac:dyDescent="0.25">
      <c r="A40" s="15" t="s">
        <v>46</v>
      </c>
      <c r="B40" s="22">
        <v>120</v>
      </c>
      <c r="C40" s="24">
        <f>((C11*3*180)+(C12*3*180)+(C16*5*180)+(C17*5*180)+(C13*4*180)+(C14*3*120))*(B40/2000)</f>
        <v>550.79999999999995</v>
      </c>
      <c r="D40" s="24">
        <f>((D11*3*180)+(D12*3*180)+(D16*5*180)+(D17*5*180)+(D13*4*180)+(D14*3*120))*(B40/2000)</f>
        <v>926.85599999999999</v>
      </c>
      <c r="E40" s="24">
        <f>((E11*3*180)+(E12*3*180)+(E16*5*180)+(E17*5*180)+(E13*4*180)+(E14*3*120))*(B40/2000)</f>
        <v>1298.7432000000001</v>
      </c>
      <c r="F40" s="24">
        <f>((F11*3*180)+(F12*3*180)+(F16*5*180)+(F17*5*180)+(F13*4*180)+(F14*3*120))*(B40/2000)</f>
        <v>1531.5028559999998</v>
      </c>
      <c r="G40" s="24">
        <f>((G11*3*180)+(G12*3*180)+(G16*5*180)+(G17*5*180)+(G13*4*180)+(G14*3*120))*(B40/2000)</f>
        <v>1808.6953924799998</v>
      </c>
      <c r="H40" s="24">
        <f>((H11*3*180)+(H12*3*180)+(H16*5*180)+(H17*5*180)+(H13*4*180)+(H14*3*120))*(B40/2000)</f>
        <v>1843.3869098903997</v>
      </c>
      <c r="I40" s="24">
        <f>((I11*3*180)+(I12*3*180)+(I16*5*180)+(I17*5*180)+(I13*4*180)+(I14*3*120))*(B40/2000)</f>
        <v>1918.8496445605915</v>
      </c>
      <c r="J40" s="24">
        <f>((J11*3*180)+(J12*3*180)+(J16*5*180)+(J17*5*180)+(J13*4*180)+(J14*3*120))*(B40/2000)</f>
        <v>1925.7202815317301</v>
      </c>
      <c r="K40" s="24">
        <f>((K11*3*180)+(K12*3*180)+(K16*5*180)+(K17*5*180)+(K13*4*180)+(K14*3*120))*(B40/2000)</f>
        <v>1928.5486568092651</v>
      </c>
      <c r="L40" s="24">
        <f>((L11*3*180)+(L12*3*180)+(L16*5*180)+(L17*5*180)+(L13*4*180)+(L14*3*120))*(B40/2000)</f>
        <v>1937.1065426251635</v>
      </c>
      <c r="M40" s="1" t="s">
        <v>47</v>
      </c>
    </row>
    <row r="41" spans="1:13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497.5</v>
      </c>
      <c r="D41" s="19">
        <f>((D11*0.5*365)+(D16*0.5*365)+(D17*0.5*365)+ (C12*0.5*365)+(D13*0.5*365)+(D14*0.5*120))*(B41/2000)</f>
        <v>780.01</v>
      </c>
      <c r="E41" s="19">
        <f>((E11*0.5*365)+(E16*0.5*365)+(E17*0.5*365)+ (D12*0.5*365)+(E13*0.5*365)+(E14*0.5*120))*(B41/2000)</f>
        <v>941.36220000000003</v>
      </c>
      <c r="F41" s="19">
        <f>((F11*0.5*365)+(F16*0.5*365)+(F17*0.5*365)+ (E12*0.5*365)+(F13*0.5*365)+(F14*0.5*120))*(B41/2000)</f>
        <v>1245.6766560000001</v>
      </c>
      <c r="G41" s="19">
        <f>((G11*0.5*365)+(G16*0.5*365)+(G17*0.5*365)+ (F12*0.5*365)+(G13*0.5*365)+(G14*0.5*120))*(B41/2000)</f>
        <v>1409.3671098799998</v>
      </c>
      <c r="H41" s="19">
        <f>((H11*0.5*365)+(H16*0.5*365)+(H17*0.5*365)+ (G12*0.5*365)+(H13*0.5*365)+(H14*0.5*120))*(B41/2000)</f>
        <v>1467.3224561324002</v>
      </c>
      <c r="I41" s="19">
        <f>((I11*0.5*365)+(I16*0.5*365)+(I17*0.5*365)+ (H12*0.5*365)+(I13*0.5*365)+(I14*0.5*120))*(B41/2000)</f>
        <v>1521.5219546572516</v>
      </c>
      <c r="J41" s="19">
        <f>((J11*0.5*365)+(J16*0.5*365)+(J17*0.5*365)+ (I12*0.5*365)+(J13*0.5*365)+(J14*0.5*120))*(B41/2000)</f>
        <v>1536.6320352692319</v>
      </c>
      <c r="K41" s="19">
        <f>((K11*0.5*365)+(K16*0.5*365)+(K17*0.5*365)+ (J12*0.5*365)+(K13*0.5*365)+(K14*0.5*120))*(B41/2000)</f>
        <v>1525.7725627429659</v>
      </c>
      <c r="L41" s="19">
        <f>((L11*0.5*365)+(L16*0.5*365)+(L17*0.5*365)+ (K12*0.5*365)+(L13*0.5*365)+(L14*0.5*120))*(B41/2000)</f>
        <v>1547.9880060784294</v>
      </c>
      <c r="M41" s="1" t="s">
        <v>49</v>
      </c>
    </row>
    <row r="42" spans="1:13" x14ac:dyDescent="0.25">
      <c r="A42" s="15" t="s">
        <v>50</v>
      </c>
      <c r="B42" s="22">
        <v>15</v>
      </c>
      <c r="C42" s="19">
        <f>(C11+C16+C12+C17+C13+C14)*B42</f>
        <v>285</v>
      </c>
      <c r="D42" s="19">
        <f>(D11+D16+D12+D17+D13+D14)*B42</f>
        <v>401.09999999999997</v>
      </c>
      <c r="E42" s="19">
        <f>(E11+E16+E12+E17+E13+E14)*B42</f>
        <v>545.14199999999994</v>
      </c>
      <c r="F42" s="19">
        <f>(F11+F16+F12+F17+F13+F14)*B42</f>
        <v>611.03616</v>
      </c>
      <c r="G42" s="19">
        <f>(G11+G16+G12+G17+G13+G14)*B42</f>
        <v>696.18985679999992</v>
      </c>
      <c r="H42" s="19">
        <f>(H11+H16+H12+H17+H13+H14)*B42</f>
        <v>703.51821416399991</v>
      </c>
      <c r="I42" s="19">
        <f>(I11+I16+I12+I17+I13+I14)*B42</f>
        <v>736.36591473071985</v>
      </c>
      <c r="J42" s="19">
        <f>(J11+J16+J12+J17+J13+J14)*B42</f>
        <v>737.87818686235551</v>
      </c>
      <c r="K42" s="19">
        <f>(K11+K16+K12+K17+K13+K14)*B42</f>
        <v>740.5230827572334</v>
      </c>
      <c r="L42" s="19">
        <f>(L11+L16+L12+L17+L13+L14)*B42</f>
        <v>745.51980984825423</v>
      </c>
    </row>
    <row r="43" spans="1:13" x14ac:dyDescent="0.25">
      <c r="A43" s="15" t="s">
        <v>51</v>
      </c>
      <c r="B43" s="22">
        <v>10</v>
      </c>
      <c r="C43" s="19">
        <f>(C11+C16+C12+C17+C13+C14)*B43</f>
        <v>190</v>
      </c>
      <c r="D43" s="19">
        <f>(D11+D16+D12+D17+D13+D14)*B43</f>
        <v>267.39999999999998</v>
      </c>
      <c r="E43" s="19">
        <f>(E11+E16+E12+E17+E13+E14)*B43</f>
        <v>363.428</v>
      </c>
      <c r="F43" s="19">
        <f>(F11+F16+F12+F17+F13+F14)*B43</f>
        <v>407.35744</v>
      </c>
      <c r="G43" s="19">
        <f>(G11+G16+G12+G17+G13+G14)*B43</f>
        <v>464.12657119999994</v>
      </c>
      <c r="H43" s="19">
        <f>(H11+H16+H12+H17+H13+H14)*B43</f>
        <v>469.01214277599996</v>
      </c>
      <c r="I43" s="19">
        <f>(I11+I16+I12+I17+I13+I14)*B43</f>
        <v>490.91060982047992</v>
      </c>
      <c r="J43" s="19">
        <f>(J11+J16+J12+J17+J13+J14)*B43</f>
        <v>491.91879124157032</v>
      </c>
      <c r="K43" s="19">
        <f>(K11+K16+K12+K17+K13+K14)*B43</f>
        <v>493.68205517148897</v>
      </c>
      <c r="L43" s="19">
        <f>(L11+L16+L12+L17+L13+L14)*B43</f>
        <v>497.0132065655028</v>
      </c>
    </row>
    <row r="44" spans="1:13" x14ac:dyDescent="0.25">
      <c r="A44" s="15" t="s">
        <v>52</v>
      </c>
      <c r="B44" s="22">
        <v>40</v>
      </c>
      <c r="C44" s="19">
        <f>(C11+C16+C12+C17+C13+C14)*B44</f>
        <v>760</v>
      </c>
      <c r="D44" s="19">
        <f>(D11+D16+D12+D17+D13+D14)*B44</f>
        <v>1069.5999999999999</v>
      </c>
      <c r="E44" s="19">
        <f>(E11+E16+E12+E17+E13+E14)*B44</f>
        <v>1453.712</v>
      </c>
      <c r="F44" s="19">
        <f>(F11+F16+F12+F17+F13+F14)*B44</f>
        <v>1629.42976</v>
      </c>
      <c r="G44" s="19">
        <f>(G11+G16+G12+G17+G13+G14)*B44</f>
        <v>1856.5062847999998</v>
      </c>
      <c r="H44" s="19">
        <f>(H11+H16+H12+H17+H13+H14)*B44</f>
        <v>1876.0485711039998</v>
      </c>
      <c r="I44" s="19">
        <f>(I11+I16+I12+I17+I13+I14)*B44</f>
        <v>1963.6424392819197</v>
      </c>
      <c r="J44" s="19">
        <f>(J11+J16+J12+J17+J13+J14)*B44</f>
        <v>1967.6751649662813</v>
      </c>
      <c r="K44" s="19">
        <f>(K11+K16+K12+K17+K13+K14)*B44</f>
        <v>1974.7282206859559</v>
      </c>
      <c r="L44" s="19">
        <f>(L11+L16+L12+L17+L13+L14)*B44</f>
        <v>1988.0528262620112</v>
      </c>
    </row>
    <row r="45" spans="1:13" x14ac:dyDescent="0.25">
      <c r="A45" s="15" t="s">
        <v>53</v>
      </c>
      <c r="B45" s="22">
        <v>30</v>
      </c>
      <c r="C45" s="19">
        <f>(C11+C16+C12+C17+C13+C14)*B45</f>
        <v>570</v>
      </c>
      <c r="D45" s="19">
        <f>(D11+D16+D12+D17+D13+D14)*B45</f>
        <v>802.19999999999993</v>
      </c>
      <c r="E45" s="19">
        <f>(E11+E16+E12+E17+E13+E14)*B45</f>
        <v>1090.2839999999999</v>
      </c>
      <c r="F45" s="19">
        <f>(F11+F16+F12+F17+F13+F14)*B45</f>
        <v>1222.07232</v>
      </c>
      <c r="G45" s="19">
        <f>(G11+G16+G12+G17+G13+G14)*B45</f>
        <v>1392.3797135999998</v>
      </c>
      <c r="H45" s="19">
        <f>(H11+H16+H12+H17+H13+H14)*B45</f>
        <v>1407.0364283279998</v>
      </c>
      <c r="I45" s="19">
        <f>(I11+I16+I12+I17+I13+I14)*B45</f>
        <v>1472.7318294614397</v>
      </c>
      <c r="J45" s="19">
        <f>(J11+J16+J12+J17+J13+J14)*B45</f>
        <v>1475.756373724711</v>
      </c>
      <c r="K45" s="19">
        <f>(K11+K16+K12+K17+K13+K14)*B45</f>
        <v>1481.0461655144668</v>
      </c>
      <c r="L45" s="19">
        <f>(L11+L16+L12+L17+L13+L14)*B45</f>
        <v>1491.0396196965085</v>
      </c>
    </row>
    <row r="46" spans="1:13" x14ac:dyDescent="0.25">
      <c r="A46" s="11" t="s">
        <v>54</v>
      </c>
      <c r="B46" s="11"/>
      <c r="C46" s="19">
        <f>SUM(C36:C45)</f>
        <v>8593.2999999999993</v>
      </c>
      <c r="D46" s="19">
        <f t="shared" ref="D46:L46" si="20">SUM(D36:D45)</f>
        <v>12275.886</v>
      </c>
      <c r="E46" s="19">
        <f t="shared" si="20"/>
        <v>16135.156199999999</v>
      </c>
      <c r="F46" s="19">
        <f t="shared" si="20"/>
        <v>18226.678895999998</v>
      </c>
      <c r="G46" s="19">
        <f t="shared" si="20"/>
        <v>20549.001454679994</v>
      </c>
      <c r="H46" s="19">
        <f t="shared" si="20"/>
        <v>20870.244255296395</v>
      </c>
      <c r="I46" s="19">
        <f t="shared" si="20"/>
        <v>21767.959793507966</v>
      </c>
      <c r="J46" s="19">
        <f t="shared" si="20"/>
        <v>21928.290753427445</v>
      </c>
      <c r="K46" s="19">
        <f t="shared" si="20"/>
        <v>22058.053015191756</v>
      </c>
      <c r="L46" s="19">
        <f t="shared" si="20"/>
        <v>22271.008149882458</v>
      </c>
    </row>
    <row r="47" spans="1:13" x14ac:dyDescent="0.25">
      <c r="A47" s="15" t="s">
        <v>55</v>
      </c>
      <c r="B47" s="15"/>
      <c r="C47" s="19">
        <f t="shared" ref="C47:L47" si="21">C46/(C11+C16+C13+C14)</f>
        <v>452.27894736842103</v>
      </c>
      <c r="D47" s="19">
        <f t="shared" si="21"/>
        <v>537.00288713910766</v>
      </c>
      <c r="E47" s="19">
        <f t="shared" si="21"/>
        <v>564.5057936941098</v>
      </c>
      <c r="F47" s="19">
        <f t="shared" si="21"/>
        <v>568.9641846234681</v>
      </c>
      <c r="G47" s="19">
        <f t="shared" si="21"/>
        <v>558.13261934437401</v>
      </c>
      <c r="H47" s="19">
        <f t="shared" si="21"/>
        <v>561.46689054235321</v>
      </c>
      <c r="I47" s="19">
        <f t="shared" si="21"/>
        <v>554.45720042548874</v>
      </c>
      <c r="J47" s="19">
        <f t="shared" si="21"/>
        <v>560.86799584923381</v>
      </c>
      <c r="K47" s="19">
        <f t="shared" si="21"/>
        <v>566.09062723223576</v>
      </c>
      <c r="L47" s="19">
        <f t="shared" si="21"/>
        <v>566.68827121508798</v>
      </c>
    </row>
    <row r="48" spans="1:13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3" x14ac:dyDescent="0.25">
      <c r="A49" s="11" t="s">
        <v>56</v>
      </c>
      <c r="B49" s="11"/>
      <c r="C49" s="19">
        <f>C32-C46</f>
        <v>-8173.2999999999993</v>
      </c>
      <c r="D49" s="19">
        <f t="shared" ref="D49:L49" si="22">D32-D46</f>
        <v>-11592.686</v>
      </c>
      <c r="E49" s="19">
        <f t="shared" si="22"/>
        <v>-4995.5301999999974</v>
      </c>
      <c r="F49" s="19">
        <f t="shared" si="22"/>
        <v>-10200.719415999996</v>
      </c>
      <c r="G49" s="19">
        <f t="shared" si="22"/>
        <v>11013.778235720009</v>
      </c>
      <c r="H49" s="19">
        <f t="shared" si="22"/>
        <v>11062.607913795611</v>
      </c>
      <c r="I49" s="19">
        <f t="shared" si="22"/>
        <v>18771.208375014699</v>
      </c>
      <c r="J49" s="19">
        <f t="shared" si="22"/>
        <v>20308.444432602893</v>
      </c>
      <c r="K49" s="19">
        <f t="shared" si="22"/>
        <v>22086.427753579694</v>
      </c>
      <c r="L49" s="19">
        <f t="shared" si="22"/>
        <v>23867.905251810065</v>
      </c>
    </row>
    <row r="50" spans="1:13" x14ac:dyDescent="0.25">
      <c r="A50" s="15" t="s">
        <v>57</v>
      </c>
      <c r="B50" s="15"/>
      <c r="C50" s="19">
        <f t="shared" ref="C50:L50" si="23">C49/(C16+C11)</f>
        <v>-743.0272727272727</v>
      </c>
      <c r="D50" s="19">
        <f t="shared" si="23"/>
        <v>-1055.8001821493624</v>
      </c>
      <c r="E50" s="19">
        <f t="shared" si="23"/>
        <v>-338.38636302056506</v>
      </c>
      <c r="F50" s="19">
        <f t="shared" si="23"/>
        <v>-587.26265415708872</v>
      </c>
      <c r="G50" s="19">
        <f t="shared" si="23"/>
        <v>504.64909091743561</v>
      </c>
      <c r="H50" s="19">
        <f t="shared" si="23"/>
        <v>499.14560754375003</v>
      </c>
      <c r="I50" s="19">
        <f t="shared" si="23"/>
        <v>794.62877925594103</v>
      </c>
      <c r="J50" s="19">
        <f t="shared" si="23"/>
        <v>875.70832596780633</v>
      </c>
      <c r="K50" s="19">
        <f t="shared" si="23"/>
        <v>959.29065434894221</v>
      </c>
      <c r="L50" s="19">
        <f t="shared" si="23"/>
        <v>1030.3024573795562</v>
      </c>
    </row>
    <row r="51" spans="1:13" x14ac:dyDescent="0.25">
      <c r="A51" s="16" t="s">
        <v>58</v>
      </c>
      <c r="B51" s="16"/>
      <c r="C51" s="17">
        <f>(C49/(((C11+C12+C13)*C26)+((C16+C17)*C29)+(((C14*0.5)-C21)*C22)+D8))*100</f>
        <v>-18.789195402298851</v>
      </c>
      <c r="D51" s="17">
        <f>(D49/(((D11+D12+D13)*D26)+((D16+D17)*D29)+(((D14*0.5)-D21)*D22)+E8))*100</f>
        <v>-17.45920627964102</v>
      </c>
      <c r="E51" s="17">
        <f t="shared" ref="E51:L51" si="24">(E49/(((E11+E12+E13)*E26)+((E16+E17)*E29)+(((E14*0.5)-E21)*E22)+F8))*100</f>
        <v>-7.4220281507186296</v>
      </c>
      <c r="F51" s="17">
        <f t="shared" si="24"/>
        <v>-11.251683467616749</v>
      </c>
      <c r="G51" s="17">
        <f t="shared" si="24"/>
        <v>9.0947491117960233</v>
      </c>
      <c r="H51" s="17">
        <f t="shared" si="24"/>
        <v>8.4438005322917764</v>
      </c>
      <c r="I51" s="17">
        <f t="shared" si="24"/>
        <v>13.143821581469531</v>
      </c>
      <c r="J51" s="17">
        <f t="shared" si="24"/>
        <v>13.544956986359885</v>
      </c>
      <c r="K51" s="17">
        <f t="shared" si="24"/>
        <v>14.048007420005426</v>
      </c>
      <c r="L51" s="17">
        <f t="shared" si="24"/>
        <v>14.444847875607495</v>
      </c>
      <c r="M51" s="27">
        <f>SUM(C51:L51)/10</f>
        <v>1.7798070207254888</v>
      </c>
    </row>
    <row r="52" spans="1:13" x14ac:dyDescent="0.25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"/>
    </row>
    <row r="53" spans="1:13" x14ac:dyDescent="0.25">
      <c r="A53" s="5" t="s">
        <v>88</v>
      </c>
      <c r="C53" s="26">
        <f>(C32-C46)/A8*100</f>
        <v>-8.9423413566739587</v>
      </c>
      <c r="D53" s="26">
        <f>((D32-D46))/A8*100</f>
        <v>-12.683463894967176</v>
      </c>
      <c r="E53" s="26">
        <f>((E32-E46))/A8*100</f>
        <v>-5.4655691466083125</v>
      </c>
      <c r="F53" s="26">
        <f>((F32-F46))/A8*100</f>
        <v>-11.16052452516411</v>
      </c>
      <c r="G53" s="26">
        <f>((G32-G46))/A8*100</f>
        <v>12.050085597067843</v>
      </c>
      <c r="H53" s="26">
        <f>((H32-H46))/A8*100</f>
        <v>12.103509752511609</v>
      </c>
      <c r="I53" s="26">
        <f>((I32-I46))/A8*100</f>
        <v>20.537427106142996</v>
      </c>
      <c r="J53" s="26">
        <f>((J32-J46))/A8*100</f>
        <v>22.219304630856556</v>
      </c>
      <c r="K53" s="26">
        <f>((K32-K46))/A8*100</f>
        <v>24.164581787286316</v>
      </c>
      <c r="L53" s="26">
        <f>((L32-L46))/A8*100</f>
        <v>26.11368189475937</v>
      </c>
      <c r="M53" s="30">
        <f>SUM(C53:L53)/10</f>
        <v>7.8936691845211131</v>
      </c>
    </row>
    <row r="54" spans="1:13" x14ac:dyDescent="0.25">
      <c r="A54" s="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0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L19</f>
        <v>125828.39160608323</v>
      </c>
      <c r="C56" s="29"/>
    </row>
    <row r="57" spans="1:13" x14ac:dyDescent="0.25">
      <c r="A57" s="1" t="s">
        <v>61</v>
      </c>
      <c r="B57" s="34">
        <f>(C8+D8)*0.5</f>
        <v>33200</v>
      </c>
      <c r="C57" s="29">
        <v>0.5</v>
      </c>
    </row>
    <row r="58" spans="1:13" x14ac:dyDescent="0.25">
      <c r="A58" s="5" t="s">
        <v>62</v>
      </c>
      <c r="B58" s="33">
        <f>SUM(B56:B57)</f>
        <v>159028.39160608323</v>
      </c>
      <c r="D58" s="19"/>
    </row>
    <row r="59" spans="1:13" x14ac:dyDescent="0.25">
      <c r="B59" s="34"/>
    </row>
    <row r="60" spans="1:13" x14ac:dyDescent="0.25">
      <c r="B60" s="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H2" sqref="H2"/>
    </sheetView>
  </sheetViews>
  <sheetFormatPr defaultColWidth="11.42578125" defaultRowHeight="15.75" x14ac:dyDescent="0.25"/>
  <cols>
    <col min="1" max="1" width="27.5703125" style="1" customWidth="1"/>
    <col min="2" max="3" width="14" style="1" customWidth="1"/>
    <col min="4" max="4" width="12.7109375" style="1" customWidth="1"/>
    <col min="5" max="5" width="12.85546875" style="1" customWidth="1"/>
    <col min="6" max="6" width="12.5703125" style="1" customWidth="1"/>
    <col min="7" max="7" width="12.7109375" style="1" customWidth="1"/>
    <col min="8" max="8" width="13.140625" style="1" customWidth="1"/>
    <col min="9" max="9" width="13.7109375" style="1" customWidth="1"/>
    <col min="10" max="10" width="13.85546875" style="1" customWidth="1"/>
    <col min="11" max="11" width="14.140625" style="1" customWidth="1"/>
    <col min="12" max="12" width="14.85546875" style="1" customWidth="1"/>
    <col min="13" max="13" width="12.7109375" style="1" customWidth="1"/>
    <col min="14" max="22" width="10.7109375" style="1" customWidth="1"/>
    <col min="23" max="16384" width="11.42578125" style="1"/>
  </cols>
  <sheetData>
    <row r="1" spans="1:14" ht="23.25" x14ac:dyDescent="0.35">
      <c r="E1" s="2" t="s">
        <v>0</v>
      </c>
      <c r="N1" s="3" t="s">
        <v>1</v>
      </c>
    </row>
    <row r="2" spans="1:14" ht="23.25" x14ac:dyDescent="0.35">
      <c r="E2" s="2"/>
      <c r="N2" s="1" t="s">
        <v>2</v>
      </c>
    </row>
    <row r="3" spans="1:14" ht="18.75" x14ac:dyDescent="0.3">
      <c r="A3" s="4" t="s">
        <v>3</v>
      </c>
      <c r="B3" s="4"/>
      <c r="N3" s="1" t="s">
        <v>4</v>
      </c>
    </row>
    <row r="4" spans="1:14" x14ac:dyDescent="0.25">
      <c r="A4" s="5"/>
      <c r="B4" s="5"/>
      <c r="I4" s="6"/>
      <c r="L4" s="6"/>
      <c r="M4" s="6"/>
      <c r="N4" s="1" t="s">
        <v>5</v>
      </c>
    </row>
    <row r="5" spans="1:14" x14ac:dyDescent="0.25">
      <c r="A5" s="5" t="s">
        <v>6</v>
      </c>
      <c r="B5" s="5"/>
      <c r="I5" s="6"/>
      <c r="N5" s="1" t="s">
        <v>7</v>
      </c>
    </row>
    <row r="6" spans="1:14" x14ac:dyDescent="0.25">
      <c r="I6" s="6"/>
      <c r="J6" s="6"/>
      <c r="N6" s="1" t="s">
        <v>8</v>
      </c>
    </row>
    <row r="7" spans="1:14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H7" s="7"/>
      <c r="J7" s="7"/>
      <c r="L7" s="7"/>
      <c r="N7" s="1" t="s">
        <v>13</v>
      </c>
    </row>
    <row r="8" spans="1:14" s="5" customFormat="1" x14ac:dyDescent="0.25">
      <c r="A8" s="32">
        <f>SUM(C8:G8)</f>
        <v>111400</v>
      </c>
      <c r="B8" s="32"/>
      <c r="C8" s="31">
        <v>40000</v>
      </c>
      <c r="D8" s="31">
        <v>26400</v>
      </c>
      <c r="E8" s="33">
        <v>45000</v>
      </c>
      <c r="H8" s="7"/>
      <c r="J8" s="7"/>
      <c r="K8" s="9"/>
      <c r="L8" s="10"/>
      <c r="N8" s="1" t="s">
        <v>14</v>
      </c>
    </row>
    <row r="9" spans="1:14" s="5" customFormat="1" x14ac:dyDescent="0.25">
      <c r="A9" s="7"/>
      <c r="B9" s="7"/>
      <c r="D9" s="8"/>
      <c r="F9" s="8"/>
      <c r="H9" s="7"/>
      <c r="J9" s="7"/>
      <c r="K9" s="9"/>
      <c r="L9" s="10"/>
      <c r="N9" s="5" t="s">
        <v>15</v>
      </c>
    </row>
    <row r="10" spans="1:14" x14ac:dyDescent="0.25">
      <c r="A10" s="11" t="s">
        <v>16</v>
      </c>
      <c r="B10" s="11" t="s">
        <v>17</v>
      </c>
      <c r="C10" s="8">
        <v>1</v>
      </c>
      <c r="D10" s="8">
        <f>SUM(C10+1)</f>
        <v>2</v>
      </c>
      <c r="E10" s="8">
        <f t="shared" ref="E10:L10" si="0">SUM(D10+1)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</row>
    <row r="11" spans="1:14" x14ac:dyDescent="0.25">
      <c r="A11" s="12" t="s">
        <v>18</v>
      </c>
      <c r="B11" s="12"/>
      <c r="C11" s="13">
        <v>10</v>
      </c>
      <c r="D11" s="14">
        <f t="shared" ref="D11:L11" si="1">(C11+C12)-C25</f>
        <v>10</v>
      </c>
      <c r="E11" s="14">
        <f t="shared" si="1"/>
        <v>10</v>
      </c>
      <c r="F11" s="14">
        <f t="shared" si="1"/>
        <v>8.879999999999999</v>
      </c>
      <c r="G11" s="14">
        <f t="shared" si="1"/>
        <v>7.759999999999998</v>
      </c>
      <c r="H11" s="14">
        <f t="shared" si="1"/>
        <v>6.580899999999998</v>
      </c>
      <c r="I11" s="14">
        <f t="shared" si="1"/>
        <v>5.9672399999999968</v>
      </c>
      <c r="J11" s="14">
        <f t="shared" si="1"/>
        <v>6.1471882499999957</v>
      </c>
      <c r="K11" s="14">
        <f t="shared" si="1"/>
        <v>4.7642648999999953</v>
      </c>
      <c r="L11" s="14">
        <f t="shared" si="1"/>
        <v>4.0931914706249941</v>
      </c>
    </row>
    <row r="12" spans="1:14" x14ac:dyDescent="0.25">
      <c r="A12" s="12" t="s">
        <v>19</v>
      </c>
      <c r="B12" s="12"/>
      <c r="C12" s="13">
        <v>0</v>
      </c>
      <c r="D12" s="14">
        <f t="shared" ref="D12:L12" si="2">C13</f>
        <v>0</v>
      </c>
      <c r="E12" s="14">
        <f t="shared" si="2"/>
        <v>3.88</v>
      </c>
      <c r="F12" s="14">
        <f t="shared" si="2"/>
        <v>3.88</v>
      </c>
      <c r="G12" s="14">
        <f t="shared" si="2"/>
        <v>4.8209</v>
      </c>
      <c r="H12" s="14">
        <f t="shared" si="2"/>
        <v>4.3863399999999997</v>
      </c>
      <c r="I12" s="14">
        <f t="shared" si="2"/>
        <v>4.1799482499999998</v>
      </c>
      <c r="J12" s="14">
        <f t="shared" si="2"/>
        <v>3.6170766499999996</v>
      </c>
      <c r="K12" s="14">
        <f t="shared" si="2"/>
        <v>3.3289265706249989</v>
      </c>
      <c r="L12" s="14">
        <f t="shared" si="2"/>
        <v>3.2622501286249985</v>
      </c>
    </row>
    <row r="13" spans="1:14" x14ac:dyDescent="0.25">
      <c r="A13" s="12" t="s">
        <v>20</v>
      </c>
      <c r="B13" s="12"/>
      <c r="C13" s="13">
        <v>0</v>
      </c>
      <c r="D13" s="14">
        <f t="shared" ref="D13:L13" si="3">(C14*0.5)*0.97</f>
        <v>3.88</v>
      </c>
      <c r="E13" s="14">
        <f t="shared" si="3"/>
        <v>3.88</v>
      </c>
      <c r="F13" s="14">
        <f t="shared" si="3"/>
        <v>4.8209</v>
      </c>
      <c r="G13" s="14">
        <f t="shared" si="3"/>
        <v>4.3863399999999997</v>
      </c>
      <c r="H13" s="14">
        <f t="shared" si="3"/>
        <v>4.1799482499999998</v>
      </c>
      <c r="I13" s="14">
        <f t="shared" si="3"/>
        <v>3.6170766499999996</v>
      </c>
      <c r="J13" s="14">
        <f t="shared" si="3"/>
        <v>3.3289265706249989</v>
      </c>
      <c r="K13" s="14">
        <f t="shared" si="3"/>
        <v>3.2622501286249985</v>
      </c>
      <c r="L13" s="14">
        <f t="shared" si="3"/>
        <v>2.6557994745765607</v>
      </c>
    </row>
    <row r="14" spans="1:14" x14ac:dyDescent="0.25">
      <c r="A14" s="15" t="s">
        <v>21</v>
      </c>
      <c r="B14" s="15"/>
      <c r="C14" s="14">
        <f t="shared" ref="C14:L14" si="4">((C11*C15)+(C12*0.5))</f>
        <v>8</v>
      </c>
      <c r="D14" s="14">
        <f t="shared" si="4"/>
        <v>8</v>
      </c>
      <c r="E14" s="14">
        <f t="shared" si="4"/>
        <v>9.94</v>
      </c>
      <c r="F14" s="14">
        <f t="shared" si="4"/>
        <v>9.0439999999999987</v>
      </c>
      <c r="G14" s="14">
        <f t="shared" si="4"/>
        <v>8.6184499999999993</v>
      </c>
      <c r="H14" s="14">
        <f t="shared" si="4"/>
        <v>7.457889999999999</v>
      </c>
      <c r="I14" s="14">
        <f t="shared" si="4"/>
        <v>6.8637661249999979</v>
      </c>
      <c r="J14" s="14">
        <f t="shared" si="4"/>
        <v>6.7262889249999969</v>
      </c>
      <c r="K14" s="14">
        <f t="shared" si="4"/>
        <v>5.4758752053124962</v>
      </c>
      <c r="L14" s="14">
        <f t="shared" si="4"/>
        <v>4.9056782408124953</v>
      </c>
    </row>
    <row r="15" spans="1:14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  <c r="H15" s="17">
        <v>0.8</v>
      </c>
      <c r="I15" s="17">
        <v>0.8</v>
      </c>
      <c r="J15" s="17">
        <v>0.8</v>
      </c>
      <c r="K15" s="17">
        <v>0.8</v>
      </c>
      <c r="L15" s="17">
        <v>0.8</v>
      </c>
    </row>
    <row r="16" spans="1:14" x14ac:dyDescent="0.25">
      <c r="A16" s="15" t="s">
        <v>23</v>
      </c>
      <c r="B16" s="15"/>
      <c r="C16" s="18">
        <v>7</v>
      </c>
      <c r="D16" s="14">
        <f t="shared" ref="D16:L16" si="5">((C16+C17)-(C23+C28))*0.98</f>
        <v>9.8000000000000007</v>
      </c>
      <c r="E16" s="14">
        <f t="shared" si="5"/>
        <v>13.4064</v>
      </c>
      <c r="F16" s="14">
        <f t="shared" si="5"/>
        <v>15.960672000000001</v>
      </c>
      <c r="G16" s="14">
        <f t="shared" si="5"/>
        <v>19.385940560000002</v>
      </c>
      <c r="H16" s="14">
        <f t="shared" si="5"/>
        <v>22.3168349488</v>
      </c>
      <c r="I16" s="14">
        <f t="shared" si="5"/>
        <v>24.986847534823998</v>
      </c>
      <c r="J16" s="14">
        <f t="shared" si="5"/>
        <v>27.051845701127515</v>
      </c>
      <c r="K16" s="14">
        <f t="shared" si="5"/>
        <v>27.81315682631746</v>
      </c>
      <c r="L16" s="14">
        <f t="shared" si="5"/>
        <v>28.493898815843608</v>
      </c>
    </row>
    <row r="17" spans="1:20" x14ac:dyDescent="0.25">
      <c r="A17" s="12" t="s">
        <v>24</v>
      </c>
      <c r="B17" s="12"/>
      <c r="C17" s="13">
        <v>3</v>
      </c>
      <c r="D17" s="14">
        <f t="shared" ref="D17:L17" si="6">(C14*0.5)*0.97</f>
        <v>3.88</v>
      </c>
      <c r="E17" s="14">
        <f t="shared" si="6"/>
        <v>3.88</v>
      </c>
      <c r="F17" s="14">
        <f t="shared" si="6"/>
        <v>4.8209</v>
      </c>
      <c r="G17" s="14">
        <f t="shared" si="6"/>
        <v>4.3863399999999997</v>
      </c>
      <c r="H17" s="14">
        <f t="shared" si="6"/>
        <v>4.1799482499999998</v>
      </c>
      <c r="I17" s="14">
        <f t="shared" si="6"/>
        <v>3.6170766499999996</v>
      </c>
      <c r="J17" s="14">
        <f t="shared" si="6"/>
        <v>3.3289265706249989</v>
      </c>
      <c r="K17" s="14">
        <f t="shared" si="6"/>
        <v>3.2622501286249985</v>
      </c>
      <c r="L17" s="14">
        <f t="shared" si="6"/>
        <v>2.6557994745765607</v>
      </c>
    </row>
    <row r="18" spans="1:20" x14ac:dyDescent="0.25">
      <c r="A18" s="15" t="s">
        <v>25</v>
      </c>
      <c r="B18" s="15"/>
      <c r="C18" s="14">
        <f t="shared" ref="C18:L18" si="7">SUM(C11:C17)</f>
        <v>28.8</v>
      </c>
      <c r="D18" s="14">
        <f t="shared" si="7"/>
        <v>36.360000000000007</v>
      </c>
      <c r="E18" s="14">
        <f t="shared" si="7"/>
        <v>45.7864</v>
      </c>
      <c r="F18" s="14">
        <f t="shared" si="7"/>
        <v>48.206471999999998</v>
      </c>
      <c r="G18" s="14">
        <f t="shared" si="7"/>
        <v>50.157970559999995</v>
      </c>
      <c r="H18" s="14">
        <f t="shared" si="7"/>
        <v>49.901861448799998</v>
      </c>
      <c r="I18" s="14">
        <f t="shared" si="7"/>
        <v>50.031955209823991</v>
      </c>
      <c r="J18" s="14">
        <f t="shared" si="7"/>
        <v>51.000252667377509</v>
      </c>
      <c r="K18" s="14">
        <f t="shared" si="7"/>
        <v>48.706723759504953</v>
      </c>
      <c r="L18" s="14">
        <f t="shared" si="7"/>
        <v>46.866617605059218</v>
      </c>
    </row>
    <row r="19" spans="1:20" x14ac:dyDescent="0.25">
      <c r="A19" s="15" t="s">
        <v>26</v>
      </c>
      <c r="B19" s="15"/>
      <c r="C19" s="19">
        <f t="shared" ref="C19:L19" si="8">SUM(C11*C26)+((C16*0.25)*C24)+(C16*0.75*C29)+(C13*C22)+(C14*C22)+(C12*0.85*C26)+(C17*1000)</f>
        <v>44450</v>
      </c>
      <c r="D19" s="19">
        <f t="shared" si="8"/>
        <v>64747.5</v>
      </c>
      <c r="E19" s="19">
        <f t="shared" si="8"/>
        <v>88201.201799999995</v>
      </c>
      <c r="F19" s="19">
        <f t="shared" si="8"/>
        <v>103224.03675499999</v>
      </c>
      <c r="G19" s="19">
        <f t="shared" si="8"/>
        <v>121944.96257974188</v>
      </c>
      <c r="H19" s="19">
        <f t="shared" si="8"/>
        <v>138043.56084677388</v>
      </c>
      <c r="I19" s="19">
        <f t="shared" si="8"/>
        <v>155077.57484429516</v>
      </c>
      <c r="J19" s="19">
        <f t="shared" si="8"/>
        <v>172276.24563438221</v>
      </c>
      <c r="K19" s="19">
        <f t="shared" si="8"/>
        <v>180662.18491811404</v>
      </c>
      <c r="L19" s="19">
        <f t="shared" si="8"/>
        <v>190039.91531508963</v>
      </c>
    </row>
    <row r="20" spans="1:20" x14ac:dyDescent="0.25">
      <c r="A20" s="11" t="s">
        <v>27</v>
      </c>
      <c r="B20" s="11"/>
    </row>
    <row r="21" spans="1:20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20" x14ac:dyDescent="0.25">
      <c r="A22" s="15" t="s">
        <v>29</v>
      </c>
      <c r="B22" s="15"/>
      <c r="C22" s="19">
        <v>650</v>
      </c>
      <c r="D22" s="19">
        <v>1000</v>
      </c>
      <c r="E22" s="19">
        <f t="shared" ref="E22:L22" si="9">D22*1.05</f>
        <v>1050</v>
      </c>
      <c r="F22" s="19">
        <f t="shared" si="9"/>
        <v>1102.5</v>
      </c>
      <c r="G22" s="19">
        <f t="shared" si="9"/>
        <v>1157.625</v>
      </c>
      <c r="H22" s="19">
        <f t="shared" si="9"/>
        <v>1215.5062500000001</v>
      </c>
      <c r="I22" s="19">
        <f t="shared" si="9"/>
        <v>1276.2815625000003</v>
      </c>
      <c r="J22" s="19">
        <f t="shared" si="9"/>
        <v>1340.0956406250004</v>
      </c>
      <c r="K22" s="19">
        <f t="shared" si="9"/>
        <v>1407.1004226562504</v>
      </c>
      <c r="L22" s="19">
        <f t="shared" si="9"/>
        <v>1477.4554437890631</v>
      </c>
    </row>
    <row r="23" spans="1:20" x14ac:dyDescent="0.25">
      <c r="A23" s="12" t="s">
        <v>30</v>
      </c>
      <c r="B23" s="12"/>
      <c r="C23" s="13">
        <v>0</v>
      </c>
      <c r="D23" s="13">
        <v>0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2</v>
      </c>
      <c r="K23" s="13">
        <v>2</v>
      </c>
      <c r="L23" s="13">
        <v>2</v>
      </c>
    </row>
    <row r="24" spans="1:20" x14ac:dyDescent="0.25">
      <c r="A24" s="12" t="s">
        <v>31</v>
      </c>
      <c r="B24" s="12"/>
      <c r="C24" s="19">
        <v>1500</v>
      </c>
      <c r="D24" s="19">
        <f>C24*1.05</f>
        <v>1575</v>
      </c>
      <c r="E24" s="19">
        <f t="shared" ref="E24:L24" si="10">D24*1.05</f>
        <v>1653.75</v>
      </c>
      <c r="F24" s="19">
        <f t="shared" si="10"/>
        <v>1736.4375</v>
      </c>
      <c r="G24" s="19">
        <f t="shared" si="10"/>
        <v>1823.2593750000001</v>
      </c>
      <c r="H24" s="19">
        <f t="shared" si="10"/>
        <v>1914.4223437500002</v>
      </c>
      <c r="I24" s="19">
        <f t="shared" si="10"/>
        <v>2010.1434609375003</v>
      </c>
      <c r="J24" s="19">
        <f t="shared" si="10"/>
        <v>2110.6506339843754</v>
      </c>
      <c r="K24" s="19">
        <f t="shared" si="10"/>
        <v>2216.1831656835943</v>
      </c>
      <c r="L24" s="19">
        <f t="shared" si="10"/>
        <v>2326.9923239677742</v>
      </c>
      <c r="T24" s="14"/>
    </row>
    <row r="25" spans="1:20" x14ac:dyDescent="0.25">
      <c r="A25" s="15" t="s">
        <v>32</v>
      </c>
      <c r="B25" s="15"/>
      <c r="C25" s="18">
        <v>0</v>
      </c>
      <c r="D25" s="18">
        <v>0</v>
      </c>
      <c r="E25" s="18">
        <v>5</v>
      </c>
      <c r="F25" s="18">
        <v>5</v>
      </c>
      <c r="G25" s="18">
        <v>6</v>
      </c>
      <c r="H25" s="18">
        <v>5</v>
      </c>
      <c r="I25" s="18">
        <v>4</v>
      </c>
      <c r="J25" s="18">
        <v>5</v>
      </c>
      <c r="K25" s="18">
        <v>4</v>
      </c>
      <c r="L25" s="18">
        <v>6</v>
      </c>
    </row>
    <row r="26" spans="1:20" x14ac:dyDescent="0.25">
      <c r="A26" s="15" t="s">
        <v>33</v>
      </c>
      <c r="B26" s="15"/>
      <c r="C26" s="19">
        <v>1000</v>
      </c>
      <c r="D26" s="19">
        <f>C26*1.04</f>
        <v>1040</v>
      </c>
      <c r="E26" s="19">
        <f>D26*1.04</f>
        <v>1081.6000000000001</v>
      </c>
      <c r="F26" s="19">
        <f t="shared" ref="F26:L26" si="11">E26*1.05</f>
        <v>1135.6800000000003</v>
      </c>
      <c r="G26" s="19">
        <f t="shared" si="11"/>
        <v>1192.4640000000004</v>
      </c>
      <c r="H26" s="19">
        <f t="shared" si="11"/>
        <v>1252.0872000000004</v>
      </c>
      <c r="I26" s="19">
        <f t="shared" si="11"/>
        <v>1314.6915600000004</v>
      </c>
      <c r="J26" s="19">
        <f t="shared" si="11"/>
        <v>1380.4261380000005</v>
      </c>
      <c r="K26" s="19">
        <f t="shared" si="11"/>
        <v>1449.4474449000006</v>
      </c>
      <c r="L26" s="19">
        <f t="shared" si="11"/>
        <v>1521.9198171450007</v>
      </c>
    </row>
    <row r="27" spans="1:20" x14ac:dyDescent="0.25">
      <c r="A27" s="12" t="s">
        <v>34</v>
      </c>
      <c r="B27" s="12"/>
      <c r="C27" s="14">
        <f>C18*0.02</f>
        <v>0.57600000000000007</v>
      </c>
      <c r="D27" s="14">
        <f t="shared" ref="D27:L27" si="12">D18*0.02</f>
        <v>0.72720000000000018</v>
      </c>
      <c r="E27" s="14">
        <f t="shared" si="12"/>
        <v>0.91572799999999999</v>
      </c>
      <c r="F27" s="14">
        <f t="shared" si="12"/>
        <v>0.96412944</v>
      </c>
      <c r="G27" s="14">
        <f t="shared" si="12"/>
        <v>1.0031594112</v>
      </c>
      <c r="H27" s="14">
        <f t="shared" si="12"/>
        <v>0.998037228976</v>
      </c>
      <c r="I27" s="14">
        <f t="shared" si="12"/>
        <v>1.0006391041964799</v>
      </c>
      <c r="J27" s="14">
        <f t="shared" si="12"/>
        <v>1.0200050533475502</v>
      </c>
      <c r="K27" s="14">
        <f t="shared" si="12"/>
        <v>0.9741344751900991</v>
      </c>
      <c r="L27" s="14">
        <f t="shared" si="12"/>
        <v>0.93733235210118437</v>
      </c>
    </row>
    <row r="28" spans="1:20" x14ac:dyDescent="0.25">
      <c r="A28" s="12" t="s">
        <v>35</v>
      </c>
      <c r="B28" s="12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20" x14ac:dyDescent="0.25">
      <c r="A29" s="12" t="s">
        <v>36</v>
      </c>
      <c r="B29" s="12"/>
      <c r="C29" s="19">
        <v>4500</v>
      </c>
      <c r="D29" s="19">
        <f t="shared" ref="D29:L29" si="13">C29*1.05</f>
        <v>4725</v>
      </c>
      <c r="E29" s="19">
        <f t="shared" si="13"/>
        <v>4961.25</v>
      </c>
      <c r="F29" s="19">
        <f t="shared" si="13"/>
        <v>5209.3125</v>
      </c>
      <c r="G29" s="19">
        <f t="shared" si="13"/>
        <v>5469.7781249999998</v>
      </c>
      <c r="H29" s="19">
        <f t="shared" si="13"/>
        <v>5743.2670312500004</v>
      </c>
      <c r="I29" s="19">
        <f t="shared" si="13"/>
        <v>6030.4303828125003</v>
      </c>
      <c r="J29" s="19">
        <f t="shared" si="13"/>
        <v>6331.9519019531253</v>
      </c>
      <c r="K29" s="19">
        <f t="shared" si="13"/>
        <v>6648.5494970507816</v>
      </c>
      <c r="L29" s="19">
        <f t="shared" si="13"/>
        <v>6980.9769719033211</v>
      </c>
    </row>
    <row r="30" spans="1:20" x14ac:dyDescent="0.25">
      <c r="A30" s="15" t="s">
        <v>37</v>
      </c>
      <c r="B30" s="15"/>
      <c r="C30" s="20">
        <f t="shared" ref="C30:E30" si="14">((C16-C28)*25)+(C17*4)</f>
        <v>187</v>
      </c>
      <c r="D30" s="20">
        <f t="shared" si="14"/>
        <v>260.52000000000004</v>
      </c>
      <c r="E30" s="20">
        <f t="shared" si="14"/>
        <v>350.67999999999995</v>
      </c>
      <c r="F30" s="20">
        <f>((F16-F28)*25)+(F17*4)</f>
        <v>418.30039999999997</v>
      </c>
      <c r="G30" s="20">
        <f t="shared" ref="G30:L30" si="15">((G16-G28)*25)+(G17*4)</f>
        <v>502.19387400000005</v>
      </c>
      <c r="H30" s="20">
        <f t="shared" si="15"/>
        <v>574.64066672000001</v>
      </c>
      <c r="I30" s="20">
        <f t="shared" si="15"/>
        <v>639.13949497059991</v>
      </c>
      <c r="J30" s="20">
        <f t="shared" si="15"/>
        <v>689.61184881068777</v>
      </c>
      <c r="K30" s="20">
        <f t="shared" si="15"/>
        <v>708.37792117243646</v>
      </c>
      <c r="L30" s="20">
        <f t="shared" si="15"/>
        <v>722.97066829439643</v>
      </c>
    </row>
    <row r="31" spans="1:20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  <c r="H31" s="21">
        <v>35</v>
      </c>
      <c r="I31" s="21">
        <v>35</v>
      </c>
      <c r="J31" s="21">
        <v>35</v>
      </c>
      <c r="K31" s="21">
        <v>35</v>
      </c>
      <c r="L31" s="21">
        <v>35</v>
      </c>
    </row>
    <row r="32" spans="1:20" x14ac:dyDescent="0.25">
      <c r="A32" s="11" t="s">
        <v>39</v>
      </c>
      <c r="B32" s="11"/>
      <c r="C32" s="19">
        <f>(C21*C22)+(C23*C24)+(C25*C26)+(C28*C29)+(C30*C31)</f>
        <v>6545</v>
      </c>
      <c r="D32" s="19">
        <f t="shared" ref="D32:L32" si="16">(D21*D22)+(D23*D24)+(D25*D26)+(D28*D29)+(D30*D31)</f>
        <v>9118.2000000000007</v>
      </c>
      <c r="E32" s="19">
        <f t="shared" si="16"/>
        <v>19335.55</v>
      </c>
      <c r="F32" s="19">
        <f t="shared" si="16"/>
        <v>22055.351500000001</v>
      </c>
      <c r="G32" s="19">
        <f t="shared" si="16"/>
        <v>26554.828965000008</v>
      </c>
      <c r="H32" s="19">
        <f t="shared" si="16"/>
        <v>28287.281678950003</v>
      </c>
      <c r="I32" s="19">
        <f t="shared" si="16"/>
        <v>29638.7920249085</v>
      </c>
      <c r="J32" s="19">
        <f t="shared" si="16"/>
        <v>35259.846666342826</v>
      </c>
      <c r="K32" s="19">
        <f t="shared" si="16"/>
        <v>35023.383352002464</v>
      </c>
      <c r="L32" s="19">
        <f t="shared" si="16"/>
        <v>39089.476941109431</v>
      </c>
    </row>
    <row r="33" spans="1:13" x14ac:dyDescent="0.25">
      <c r="A33" s="15" t="s">
        <v>40</v>
      </c>
      <c r="B33" s="15"/>
      <c r="C33" s="19">
        <f t="shared" ref="C33:L33" si="17">C32/(C16+C11)</f>
        <v>385</v>
      </c>
      <c r="D33" s="19">
        <f t="shared" si="17"/>
        <v>460.51515151515156</v>
      </c>
      <c r="E33" s="19">
        <f t="shared" si="17"/>
        <v>826.07961924943606</v>
      </c>
      <c r="F33" s="19">
        <f t="shared" si="17"/>
        <v>887.87257848740978</v>
      </c>
      <c r="G33" s="19">
        <f t="shared" si="17"/>
        <v>978.2246780621407</v>
      </c>
      <c r="H33" s="19">
        <f t="shared" si="17"/>
        <v>978.87539383513706</v>
      </c>
      <c r="I33" s="19">
        <f t="shared" si="17"/>
        <v>957.50818018991004</v>
      </c>
      <c r="J33" s="19">
        <f t="shared" si="17"/>
        <v>1062.0744783793725</v>
      </c>
      <c r="K33" s="19">
        <f t="shared" si="17"/>
        <v>1075.0814980459015</v>
      </c>
      <c r="L33" s="19">
        <f t="shared" si="17"/>
        <v>1199.5387313650665</v>
      </c>
    </row>
    <row r="34" spans="1:13" x14ac:dyDescent="0.25">
      <c r="C34" s="14"/>
    </row>
    <row r="35" spans="1:13" x14ac:dyDescent="0.25">
      <c r="A35" s="11" t="s">
        <v>41</v>
      </c>
      <c r="B35" s="11"/>
    </row>
    <row r="36" spans="1:13" x14ac:dyDescent="0.25">
      <c r="A36" s="15" t="s">
        <v>42</v>
      </c>
      <c r="B36" s="15"/>
      <c r="C36" s="19">
        <f t="shared" ref="C36:L36" si="18">((C11+C12+C13)*200)</f>
        <v>2000</v>
      </c>
      <c r="D36" s="19">
        <f t="shared" si="18"/>
        <v>2776</v>
      </c>
      <c r="E36" s="19">
        <f t="shared" si="18"/>
        <v>3551.9999999999995</v>
      </c>
      <c r="F36" s="19">
        <f t="shared" si="18"/>
        <v>3516.18</v>
      </c>
      <c r="G36" s="19">
        <f t="shared" si="18"/>
        <v>3393.4479999999994</v>
      </c>
      <c r="H36" s="19">
        <f t="shared" si="18"/>
        <v>3029.4376499999989</v>
      </c>
      <c r="I36" s="19">
        <f t="shared" si="18"/>
        <v>2752.8529799999992</v>
      </c>
      <c r="J36" s="19">
        <f t="shared" si="18"/>
        <v>2618.638294124999</v>
      </c>
      <c r="K36" s="19">
        <f t="shared" si="18"/>
        <v>2271.0883198499987</v>
      </c>
      <c r="L36" s="19">
        <f t="shared" si="18"/>
        <v>2002.2482147653109</v>
      </c>
    </row>
    <row r="37" spans="1:13" x14ac:dyDescent="0.25">
      <c r="A37" s="15" t="s">
        <v>43</v>
      </c>
      <c r="B37" s="22">
        <v>0.02</v>
      </c>
      <c r="C37" s="19">
        <f>D8*B37</f>
        <v>528</v>
      </c>
      <c r="D37" s="14">
        <f t="shared" ref="D37:L37" si="19">C37*1.05</f>
        <v>554.4</v>
      </c>
      <c r="E37" s="14">
        <f t="shared" si="19"/>
        <v>582.12</v>
      </c>
      <c r="F37" s="14">
        <f t="shared" si="19"/>
        <v>611.226</v>
      </c>
      <c r="G37" s="14">
        <f t="shared" si="19"/>
        <v>641.78730000000007</v>
      </c>
      <c r="H37" s="14">
        <f t="shared" si="19"/>
        <v>673.87666500000012</v>
      </c>
      <c r="I37" s="14">
        <f t="shared" si="19"/>
        <v>707.57049825000013</v>
      </c>
      <c r="J37" s="14">
        <f t="shared" si="19"/>
        <v>742.94902316250011</v>
      </c>
      <c r="K37" s="14">
        <f t="shared" si="19"/>
        <v>780.09647432062513</v>
      </c>
      <c r="L37" s="14">
        <f t="shared" si="19"/>
        <v>819.10129803665643</v>
      </c>
    </row>
    <row r="38" spans="1:13" x14ac:dyDescent="0.25">
      <c r="A38" s="12" t="s">
        <v>44</v>
      </c>
      <c r="B38" s="23">
        <v>0.02</v>
      </c>
      <c r="C38" s="19">
        <f>C8*B38</f>
        <v>800</v>
      </c>
      <c r="D38" s="14">
        <f t="shared" ref="D38:L38" si="20">C38*1.03</f>
        <v>824</v>
      </c>
      <c r="E38" s="14">
        <f t="shared" si="20"/>
        <v>848.72</v>
      </c>
      <c r="F38" s="14">
        <f t="shared" si="20"/>
        <v>874.1816</v>
      </c>
      <c r="G38" s="14">
        <f t="shared" si="20"/>
        <v>900.40704800000003</v>
      </c>
      <c r="H38" s="14">
        <f t="shared" si="20"/>
        <v>927.41925944000002</v>
      </c>
      <c r="I38" s="14">
        <f t="shared" si="20"/>
        <v>955.24183722320004</v>
      </c>
      <c r="J38" s="14">
        <f t="shared" si="20"/>
        <v>983.89909233989601</v>
      </c>
      <c r="K38" s="14">
        <f t="shared" si="20"/>
        <v>1013.416065110093</v>
      </c>
      <c r="L38" s="14">
        <f t="shared" si="20"/>
        <v>1043.8185470633957</v>
      </c>
    </row>
    <row r="39" spans="1:13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4356</v>
      </c>
      <c r="D39" s="19">
        <f>((D11*15*180)+(D12*15*180)+(D17*20*180)+(D16*20*180)+(D13*15*180)+(D14*10*120))/2000*B39</f>
        <v>5779.44</v>
      </c>
      <c r="E39" s="19">
        <f>((E11*15*180)+(E12*15*180)+(E17*20*180)+(E16*20*180)+(E13*15*180)+(E14*10*120))/2000*B39</f>
        <v>7326.6624000000002</v>
      </c>
      <c r="F39" s="19">
        <f>((F11*15*180)+(F12*15*180)+(F17*20*180)+(F16*20*180)+(F13*15*180)+(F14*10*120))/2000*B39</f>
        <v>7988.093351999998</v>
      </c>
      <c r="G39" s="19">
        <f>((G11*15*180)+(G12*15*180)+(G17*20*180)+(G16*20*180)+(G13*15*180)+(G14*10*120))/2000*B39</f>
        <v>8504.033880959998</v>
      </c>
      <c r="H39" s="19">
        <f>((H11*15*180)+(H12*15*180)+(H17*20*180)+(H16*20*180)+(H13*15*180)+(H14*10*120))/2000*B39</f>
        <v>8714.1177474407996</v>
      </c>
      <c r="I39" s="19">
        <f>((I11*15*180)+(I12*15*180)+(I17*20*180)+(I16*20*180)+(I13*15*180)+(I14*10*120))/2000*B39</f>
        <v>8902.4496987219827</v>
      </c>
      <c r="J39" s="19">
        <f>((J11*15*180)+(J12*15*180)+(J17*20*180)+(J16*20*180)+(J13*15*180)+(J14*10*120))/2000*B39</f>
        <v>9167.6366315397918</v>
      </c>
      <c r="K39" s="19">
        <f>((K11*15*180)+(K12*15*180)+(K17*20*180)+(K16*20*180)+(K13*15*180)+(K14*10*120))/2000*B39</f>
        <v>8946.1324561285692</v>
      </c>
      <c r="L39" s="19">
        <f>((L11*15*180)+(L12*15*180)+(L17*20*180)+(L16*20*180)+(L13*15*180)+(L14*10*120))/2000*B39</f>
        <v>8703.3647180291591</v>
      </c>
    </row>
    <row r="40" spans="1:13" x14ac:dyDescent="0.25">
      <c r="A40" s="15" t="s">
        <v>46</v>
      </c>
      <c r="B40" s="22">
        <v>120</v>
      </c>
      <c r="C40" s="24">
        <f>((C11*3*180)+(C12*3*180)+(C16*5*180)+(C17*5*180)+(C13*4*180)+(C14*3*120))*(B40/2000)</f>
        <v>1036.8</v>
      </c>
      <c r="D40" s="24">
        <f>((D11*3*180)+(D12*3*180)+(D16*5*180)+(D17*5*180)+(D13*4*180)+(D14*3*120))*(B40/2000)</f>
        <v>1403.136</v>
      </c>
      <c r="E40" s="24">
        <f>((E11*3*180)+(E12*3*180)+(E16*5*180)+(E17*5*180)+(E13*4*180)+(E14*3*120))*(B40/2000)</f>
        <v>1765.4975999999999</v>
      </c>
      <c r="F40" s="24">
        <f>((F11*3*180)+(F12*3*180)+(F16*5*180)+(F17*5*180)+(F13*4*180)+(F14*3*120))*(B40/2000)</f>
        <v>1939.2421679999998</v>
      </c>
      <c r="G40" s="24">
        <f>((G11*3*180)+(G12*3*180)+(G16*5*180)+(G17*5*180)+(G13*4*180)+(G14*3*120))*(B40/2000)</f>
        <v>2066.9727182399997</v>
      </c>
      <c r="H40" s="24">
        <f>((H11*3*180)+(H12*3*180)+(H16*5*180)+(H17*5*180)+(H13*4*180)+(H14*3*120))*(B40/2000)</f>
        <v>2127.8290571351999</v>
      </c>
      <c r="I40" s="24">
        <f>((I11*3*180)+(I12*3*180)+(I16*5*180)+(I17*5*180)+(I13*4*180)+(I14*3*120))*(B40/2000)</f>
        <v>2177.8958648604953</v>
      </c>
      <c r="J40" s="24">
        <f>((J11*3*180)+(J12*3*180)+(J16*5*180)+(J17*5*180)+(J13*4*180)+(J14*3*120))*(B40/2000)</f>
        <v>2246.0213540656355</v>
      </c>
      <c r="K40" s="24">
        <f>((K11*3*180)+(K12*3*180)+(K16*5*180)+(K17*5*180)+(K13*4*180)+(K14*3*120))*(B40/2000)</f>
        <v>2199.4994892064919</v>
      </c>
      <c r="L40" s="24">
        <f>((L11*3*180)+(L12*3*180)+(L16*5*180)+(L17*5*180)+(L13*4*180)+(L14*3*120))*(B40/2000)</f>
        <v>2141.0932028016464</v>
      </c>
      <c r="M40" s="1" t="s">
        <v>47</v>
      </c>
    </row>
    <row r="41" spans="1:13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826</v>
      </c>
      <c r="D41" s="19">
        <f>((D11*0.5*365)+(D16*0.5*365)+(D17*0.5*365)+ (C12*0.5*365)+(D13*0.5*365)+(D14*0.5*120))*(B41/2000)</f>
        <v>1101.9400000000003</v>
      </c>
      <c r="E41" s="19">
        <f>((E11*0.5*365)+(E16*0.5*365)+(E17*0.5*365)+ (D12*0.5*365)+(E13*0.5*365)+(E14*0.5*120))*(B41/2000)</f>
        <v>1256.8536000000001</v>
      </c>
      <c r="F41" s="19">
        <f>((F11*0.5*365)+(F16*0.5*365)+(F17*0.5*365)+ (E12*0.5*365)+(F13*0.5*365)+(F14*0.5*120))*(B41/2000)</f>
        <v>1508.7582280000004</v>
      </c>
      <c r="G41" s="19">
        <f>((G11*0.5*365)+(G16*0.5*365)+(G17*0.5*365)+ (F12*0.5*365)+(G13*0.5*365)+(G14*0.5*120))*(B41/2000)</f>
        <v>1556.0710504400004</v>
      </c>
      <c r="H41" s="19">
        <f>((H11*0.5*365)+(H16*0.5*365)+(H17*0.5*365)+ (G12*0.5*365)+(H13*0.5*365)+(H14*0.5*120))*(B41/2000)</f>
        <v>1625.3610778811999</v>
      </c>
      <c r="I41" s="19">
        <f>((I11*0.5*365)+(I16*0.5*365)+(I17*0.5*365)+ (H12*0.5*365)+(I13*0.5*365)+(I14*0.5*120))*(B41/2000)</f>
        <v>1636.3373939710759</v>
      </c>
      <c r="J41" s="19">
        <f>((J11*0.5*365)+(J16*0.5*365)+(J17*0.5*365)+ (I12*0.5*365)+(J13*0.5*365)+(J14*0.5*120))*(B41/2000)</f>
        <v>1688.0599570967788</v>
      </c>
      <c r="K41" s="19">
        <f>((K11*0.5*365)+(K16*0.5*365)+(K17*0.5*365)+ (J12*0.5*365)+(K13*0.5*365)+(K14*0.5*120))*(B41/2000)</f>
        <v>1624.953952588962</v>
      </c>
      <c r="L41" s="19">
        <f>((L11*0.5*365)+(L16*0.5*365)+(L17*0.5*365)+ (K12*0.5*365)+(L13*0.5*365)+(L14*0.5*120))*(B41/2000)</f>
        <v>1563.6761158177551</v>
      </c>
      <c r="M41" s="1" t="s">
        <v>49</v>
      </c>
    </row>
    <row r="42" spans="1:13" x14ac:dyDescent="0.25">
      <c r="A42" s="15" t="s">
        <v>50</v>
      </c>
      <c r="B42" s="22">
        <v>15</v>
      </c>
      <c r="C42" s="19">
        <f>(C11+C16+C12+C17+C13+C14)*B42</f>
        <v>420</v>
      </c>
      <c r="D42" s="19">
        <f>(D11+D16+D12+D17+D13+D14)*B42</f>
        <v>533.40000000000009</v>
      </c>
      <c r="E42" s="19">
        <f>(E11+E16+E12+E17+E13+E14)*B42</f>
        <v>674.79599999999994</v>
      </c>
      <c r="F42" s="19">
        <f>(F11+F16+F12+F17+F13+F14)*B42</f>
        <v>711.09707999999989</v>
      </c>
      <c r="G42" s="19">
        <f>(G11+G16+G12+G17+G13+G14)*B42</f>
        <v>740.36955839999996</v>
      </c>
      <c r="H42" s="19">
        <f>(H11+H16+H12+H17+H13+H14)*B42</f>
        <v>736.52792173199998</v>
      </c>
      <c r="I42" s="19">
        <f>(I11+I16+I12+I17+I13+I14)*B42</f>
        <v>738.47932814735987</v>
      </c>
      <c r="J42" s="19">
        <f>(J11+J16+J12+J17+J13+J14)*B42</f>
        <v>753.00379001066267</v>
      </c>
      <c r="K42" s="19">
        <f>(K11+K16+K12+K17+K13+K14)*B42</f>
        <v>718.6008563925742</v>
      </c>
      <c r="L42" s="19">
        <f>(L11+L16+L12+L17+L13+L14)*B42</f>
        <v>690.99926407588828</v>
      </c>
    </row>
    <row r="43" spans="1:13" x14ac:dyDescent="0.25">
      <c r="A43" s="15" t="s">
        <v>51</v>
      </c>
      <c r="B43" s="22">
        <v>10</v>
      </c>
      <c r="C43" s="19">
        <f>(C11+C16+C12+C17+C13+C14)*B43</f>
        <v>280</v>
      </c>
      <c r="D43" s="19">
        <f>(D11+D16+D12+D17+D13+D14)*B43</f>
        <v>355.6</v>
      </c>
      <c r="E43" s="19">
        <f>(E11+E16+E12+E17+E13+E14)*B43</f>
        <v>449.86399999999998</v>
      </c>
      <c r="F43" s="19">
        <f>(F11+F16+F12+F17+F13+F14)*B43</f>
        <v>474.06471999999997</v>
      </c>
      <c r="G43" s="19">
        <f>(G11+G16+G12+G17+G13+G14)*B43</f>
        <v>493.57970560000001</v>
      </c>
      <c r="H43" s="19">
        <f>(H11+H16+H12+H17+H13+H14)*B43</f>
        <v>491.01861448800003</v>
      </c>
      <c r="I43" s="19">
        <f>(I11+I16+I12+I17+I13+I14)*B43</f>
        <v>492.31955209823991</v>
      </c>
      <c r="J43" s="19">
        <f>(J11+J16+J12+J17+J13+J14)*B43</f>
        <v>502.00252667377515</v>
      </c>
      <c r="K43" s="19">
        <f>(K11+K16+K12+K17+K13+K14)*B43</f>
        <v>479.06723759504951</v>
      </c>
      <c r="L43" s="19">
        <f>(L11+L16+L12+L17+L13+L14)*B43</f>
        <v>460.66617605059218</v>
      </c>
    </row>
    <row r="44" spans="1:13" x14ac:dyDescent="0.25">
      <c r="A44" s="15" t="s">
        <v>52</v>
      </c>
      <c r="B44" s="22">
        <v>40</v>
      </c>
      <c r="C44" s="19">
        <f>(C11+C16+C12+C17+C13+C14)*B44</f>
        <v>1120</v>
      </c>
      <c r="D44" s="19">
        <f>(D11+D16+D12+D17+D13+D14)*B44</f>
        <v>1422.4</v>
      </c>
      <c r="E44" s="19">
        <f>(E11+E16+E12+E17+E13+E14)*B44</f>
        <v>1799.4559999999999</v>
      </c>
      <c r="F44" s="19">
        <f>(F11+F16+F12+F17+F13+F14)*B44</f>
        <v>1896.2588799999999</v>
      </c>
      <c r="G44" s="19">
        <f>(G11+G16+G12+G17+G13+G14)*B44</f>
        <v>1974.3188224</v>
      </c>
      <c r="H44" s="19">
        <f>(H11+H16+H12+H17+H13+H14)*B44</f>
        <v>1964.0744579520001</v>
      </c>
      <c r="I44" s="19">
        <f>(I11+I16+I12+I17+I13+I14)*B44</f>
        <v>1969.2782083929596</v>
      </c>
      <c r="J44" s="19">
        <f>(J11+J16+J12+J17+J13+J14)*B44</f>
        <v>2008.0101066951006</v>
      </c>
      <c r="K44" s="19">
        <f>(K11+K16+K12+K17+K13+K14)*B44</f>
        <v>1916.268950380198</v>
      </c>
      <c r="L44" s="19">
        <f>(L11+L16+L12+L17+L13+L14)*B44</f>
        <v>1842.6647042023687</v>
      </c>
    </row>
    <row r="45" spans="1:13" x14ac:dyDescent="0.25">
      <c r="A45" s="15" t="s">
        <v>53</v>
      </c>
      <c r="B45" s="22">
        <v>30</v>
      </c>
      <c r="C45" s="19">
        <f>(C11+C16+C12+C17+C13+C14)*B45</f>
        <v>840</v>
      </c>
      <c r="D45" s="19">
        <f>(D11+D16+D12+D17+D13+D14)*B45</f>
        <v>1066.8000000000002</v>
      </c>
      <c r="E45" s="19">
        <f>(E11+E16+E12+E17+E13+E14)*B45</f>
        <v>1349.5919999999999</v>
      </c>
      <c r="F45" s="19">
        <f>(F11+F16+F12+F17+F13+F14)*B45</f>
        <v>1422.1941599999998</v>
      </c>
      <c r="G45" s="19">
        <f>(G11+G16+G12+G17+G13+G14)*B45</f>
        <v>1480.7391167999999</v>
      </c>
      <c r="H45" s="19">
        <f>(H11+H16+H12+H17+H13+H14)*B45</f>
        <v>1473.055843464</v>
      </c>
      <c r="I45" s="19">
        <f>(I11+I16+I12+I17+I13+I14)*B45</f>
        <v>1476.9586562947197</v>
      </c>
      <c r="J45" s="19">
        <f>(J11+J16+J12+J17+J13+J14)*B45</f>
        <v>1506.0075800213253</v>
      </c>
      <c r="K45" s="19">
        <f>(K11+K16+K12+K17+K13+K14)*B45</f>
        <v>1437.2017127851484</v>
      </c>
      <c r="L45" s="19">
        <f>(L11+L16+L12+L17+L13+L14)*B45</f>
        <v>1381.9985281517766</v>
      </c>
    </row>
    <row r="46" spans="1:13" x14ac:dyDescent="0.25">
      <c r="A46" s="11" t="s">
        <v>54</v>
      </c>
      <c r="B46" s="11"/>
      <c r="C46" s="19">
        <f>SUM(C36:C45)</f>
        <v>12206.8</v>
      </c>
      <c r="D46" s="19">
        <f t="shared" ref="D46:L46" si="21">SUM(D36:D45)</f>
        <v>15817.116000000002</v>
      </c>
      <c r="E46" s="19">
        <f t="shared" si="21"/>
        <v>19605.561600000001</v>
      </c>
      <c r="F46" s="19">
        <f t="shared" si="21"/>
        <v>20941.296187999997</v>
      </c>
      <c r="G46" s="19">
        <f t="shared" si="21"/>
        <v>21751.72720084</v>
      </c>
      <c r="H46" s="19">
        <f t="shared" si="21"/>
        <v>21762.718294533195</v>
      </c>
      <c r="I46" s="19">
        <f t="shared" si="21"/>
        <v>21809.384017960034</v>
      </c>
      <c r="J46" s="19">
        <f t="shared" si="21"/>
        <v>22216.228355730462</v>
      </c>
      <c r="K46" s="19">
        <f t="shared" si="21"/>
        <v>21386.325514357708</v>
      </c>
      <c r="L46" s="19">
        <f t="shared" si="21"/>
        <v>20649.630768994546</v>
      </c>
    </row>
    <row r="47" spans="1:13" x14ac:dyDescent="0.25">
      <c r="A47" s="15" t="s">
        <v>55</v>
      </c>
      <c r="B47" s="15"/>
      <c r="C47" s="19">
        <f t="shared" ref="C47:L47" si="22">C46/(C11+C16+C13+C14)</f>
        <v>488.27199999999999</v>
      </c>
      <c r="D47" s="19">
        <f t="shared" si="22"/>
        <v>499.2776515151516</v>
      </c>
      <c r="E47" s="19">
        <f t="shared" si="22"/>
        <v>526.65746889304364</v>
      </c>
      <c r="F47" s="19">
        <f t="shared" si="22"/>
        <v>541.0408658474289</v>
      </c>
      <c r="G47" s="19">
        <f t="shared" si="22"/>
        <v>541.75171653065934</v>
      </c>
      <c r="H47" s="19">
        <f t="shared" si="22"/>
        <v>536.87950057598914</v>
      </c>
      <c r="I47" s="19">
        <f t="shared" si="22"/>
        <v>526.35261734201958</v>
      </c>
      <c r="J47" s="19">
        <f t="shared" si="22"/>
        <v>513.6195550700611</v>
      </c>
      <c r="K47" s="19">
        <f t="shared" si="22"/>
        <v>517.63384575708767</v>
      </c>
      <c r="L47" s="19">
        <f t="shared" si="22"/>
        <v>514.33044306932936</v>
      </c>
    </row>
    <row r="48" spans="1:13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3" x14ac:dyDescent="0.25">
      <c r="A49" s="11" t="s">
        <v>56</v>
      </c>
      <c r="B49" s="11"/>
      <c r="C49" s="19">
        <f>C32-C46</f>
        <v>-5661.7999999999993</v>
      </c>
      <c r="D49" s="19">
        <f t="shared" ref="D49:L49" si="23">D32-D46</f>
        <v>-6698.9160000000011</v>
      </c>
      <c r="E49" s="19">
        <f t="shared" si="23"/>
        <v>-270.01160000000164</v>
      </c>
      <c r="F49" s="19">
        <f t="shared" si="23"/>
        <v>1114.0553120000041</v>
      </c>
      <c r="G49" s="19">
        <f t="shared" si="23"/>
        <v>4803.1017641600083</v>
      </c>
      <c r="H49" s="19">
        <f t="shared" si="23"/>
        <v>6524.5633844168078</v>
      </c>
      <c r="I49" s="19">
        <f t="shared" si="23"/>
        <v>7829.4080069484662</v>
      </c>
      <c r="J49" s="19">
        <f t="shared" si="23"/>
        <v>13043.618310612364</v>
      </c>
      <c r="K49" s="19">
        <f t="shared" si="23"/>
        <v>13637.057837644756</v>
      </c>
      <c r="L49" s="19">
        <f t="shared" si="23"/>
        <v>18439.846172114885</v>
      </c>
    </row>
    <row r="50" spans="1:13" x14ac:dyDescent="0.25">
      <c r="A50" s="15" t="s">
        <v>57</v>
      </c>
      <c r="B50" s="15"/>
      <c r="C50" s="19">
        <f t="shared" ref="C50:L50" si="24">C49/(C16+C11)</f>
        <v>-333.04705882352937</v>
      </c>
      <c r="D50" s="19">
        <f t="shared" si="24"/>
        <v>-338.32909090909095</v>
      </c>
      <c r="E50" s="19">
        <f t="shared" si="24"/>
        <v>-11.535802173764511</v>
      </c>
      <c r="F50" s="19">
        <f t="shared" si="24"/>
        <v>44.848034384899258</v>
      </c>
      <c r="G50" s="19">
        <f t="shared" si="24"/>
        <v>176.93628089783192</v>
      </c>
      <c r="H50" s="19">
        <f t="shared" si="24"/>
        <v>225.78113461061227</v>
      </c>
      <c r="I50" s="19">
        <f t="shared" si="24"/>
        <v>252.93615901745508</v>
      </c>
      <c r="J50" s="19">
        <f t="shared" si="24"/>
        <v>392.89150189773443</v>
      </c>
      <c r="K50" s="19">
        <f t="shared" si="24"/>
        <v>418.60457688179014</v>
      </c>
      <c r="L50" s="19">
        <f t="shared" si="24"/>
        <v>565.86353706368834</v>
      </c>
    </row>
    <row r="51" spans="1:13" x14ac:dyDescent="0.25">
      <c r="A51" s="16" t="s">
        <v>58</v>
      </c>
      <c r="B51" s="16"/>
      <c r="C51" s="17">
        <f>(C49/(((C11+C12+C13)*C26)+((C16+C17)*C29)+(((C14*0.5)-C21)*C22)+D8))*100</f>
        <v>-6.7402380952380954</v>
      </c>
      <c r="D51" s="17">
        <f>(D49/(((D11+D12+D13)*D26)+((D16+D17)*D29)+(((D14*0.5)-D21)*D22)+E8))*100</f>
        <v>-5.23053691170362</v>
      </c>
      <c r="E51" s="17">
        <f t="shared" ref="E51:L51" si="25">(E49/(((E11+E12+E13)*E26)+((E16+E17)*E29)+(((E14*0.5)-E21)*E22)+F8))*100</f>
        <v>-0.24504213037082651</v>
      </c>
      <c r="F51" s="17">
        <f t="shared" si="25"/>
        <v>0.83631831310193716</v>
      </c>
      <c r="G51" s="17">
        <f t="shared" si="25"/>
        <v>3.0937775903347142</v>
      </c>
      <c r="H51" s="17">
        <f t="shared" si="25"/>
        <v>3.7139699262749759</v>
      </c>
      <c r="I51" s="17">
        <f t="shared" si="25"/>
        <v>4.0157032481558401</v>
      </c>
      <c r="J51" s="17">
        <f t="shared" si="25"/>
        <v>6.0681904460267253</v>
      </c>
      <c r="K51" s="17">
        <f t="shared" si="25"/>
        <v>6.009684034648517</v>
      </c>
      <c r="L51" s="17">
        <f t="shared" si="25"/>
        <v>7.8030594286560424</v>
      </c>
      <c r="M51" s="27">
        <f>SUM(C51:L51)/10</f>
        <v>1.9324885849886211</v>
      </c>
    </row>
    <row r="53" spans="1:13" x14ac:dyDescent="0.25">
      <c r="A53" s="5" t="s">
        <v>88</v>
      </c>
      <c r="C53" s="26">
        <f>(C32-C46)/A8*100</f>
        <v>-5.0824057450628359</v>
      </c>
      <c r="D53" s="26">
        <f>((D32-D46))/A8*100</f>
        <v>-6.0133895870736094</v>
      </c>
      <c r="E53" s="26">
        <f>((E32-E46))/A8*100</f>
        <v>-0.2423802513465006</v>
      </c>
      <c r="F53" s="26">
        <f>((F32-F46))/A8*100</f>
        <v>1.000049651705569</v>
      </c>
      <c r="G53" s="26">
        <f>((G32-G46))/A8*100</f>
        <v>4.3115814759066495</v>
      </c>
      <c r="H53" s="26">
        <f>((H32-H46))/A8*100</f>
        <v>5.856879160158714</v>
      </c>
      <c r="I53" s="26">
        <f>((I32-I46))/A8*100</f>
        <v>7.0281939021081392</v>
      </c>
      <c r="J53" s="26">
        <f>((J32-J46))/A8*100</f>
        <v>11.708813564283989</v>
      </c>
      <c r="K53" s="26">
        <f>((K32-K46))/A8*100</f>
        <v>12.241524091243049</v>
      </c>
      <c r="L53" s="26">
        <f>((L32-L46))/A8*100</f>
        <v>16.55282421195232</v>
      </c>
      <c r="M53" s="30">
        <f>SUM(C53:L53)/10</f>
        <v>4.7361690473875484</v>
      </c>
    </row>
    <row r="54" spans="1:13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3" x14ac:dyDescent="0.25">
      <c r="A55" s="5" t="s">
        <v>59</v>
      </c>
      <c r="C55" s="14"/>
      <c r="E55" s="14"/>
    </row>
    <row r="56" spans="1:13" x14ac:dyDescent="0.25">
      <c r="A56" s="1" t="s">
        <v>60</v>
      </c>
      <c r="B56" s="34">
        <f>L19</f>
        <v>190039.91531508963</v>
      </c>
      <c r="C56" s="29"/>
    </row>
    <row r="57" spans="1:13" x14ac:dyDescent="0.25">
      <c r="A57" s="1" t="s">
        <v>61</v>
      </c>
      <c r="B57" s="34">
        <f>(C8+D8)*0.5</f>
        <v>33200</v>
      </c>
      <c r="C57" s="29"/>
    </row>
    <row r="58" spans="1:13" x14ac:dyDescent="0.25">
      <c r="A58" s="5" t="s">
        <v>62</v>
      </c>
      <c r="B58" s="33">
        <f>SUM(B56:B57)</f>
        <v>223239.91531508963</v>
      </c>
      <c r="D58" s="19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F4" sqref="F4"/>
    </sheetView>
  </sheetViews>
  <sheetFormatPr defaultColWidth="11.42578125" defaultRowHeight="15.75" x14ac:dyDescent="0.25"/>
  <cols>
    <col min="1" max="1" width="26.42578125" style="1" customWidth="1"/>
    <col min="2" max="2" width="13.28515625" style="1" customWidth="1"/>
    <col min="3" max="3" width="14" style="1" customWidth="1"/>
    <col min="4" max="4" width="12.7109375" style="1" customWidth="1"/>
    <col min="5" max="5" width="12.85546875" style="1" customWidth="1"/>
    <col min="6" max="6" width="13.85546875" style="1" customWidth="1"/>
    <col min="7" max="7" width="14" style="1" customWidth="1"/>
    <col min="8" max="8" width="13.140625" style="1" customWidth="1"/>
    <col min="9" max="9" width="13.7109375" style="1" customWidth="1"/>
    <col min="10" max="10" width="13.85546875" style="1" customWidth="1"/>
    <col min="11" max="12" width="13.140625" style="1" customWidth="1"/>
    <col min="13" max="13" width="12.7109375" style="1" customWidth="1"/>
    <col min="14" max="14" width="13" style="1" customWidth="1"/>
    <col min="15" max="23" width="10.7109375" style="1" customWidth="1"/>
    <col min="24" max="16384" width="11.42578125" style="1"/>
  </cols>
  <sheetData>
    <row r="1" spans="1:13" ht="23.25" x14ac:dyDescent="0.35">
      <c r="E1" s="2" t="s">
        <v>63</v>
      </c>
    </row>
    <row r="2" spans="1:13" ht="23.25" x14ac:dyDescent="0.35">
      <c r="E2" s="2"/>
      <c r="I2" s="3" t="s">
        <v>64</v>
      </c>
    </row>
    <row r="3" spans="1:13" ht="18.75" x14ac:dyDescent="0.3">
      <c r="A3" s="4" t="s">
        <v>81</v>
      </c>
      <c r="B3" s="4"/>
      <c r="I3" s="1" t="s">
        <v>86</v>
      </c>
    </row>
    <row r="4" spans="1:13" x14ac:dyDescent="0.25">
      <c r="A4" s="5"/>
      <c r="B4" s="5"/>
      <c r="L4" s="6"/>
      <c r="M4" s="6"/>
    </row>
    <row r="5" spans="1:13" x14ac:dyDescent="0.25">
      <c r="A5" s="5" t="s">
        <v>6</v>
      </c>
      <c r="B5" s="5"/>
      <c r="I5" s="1" t="s">
        <v>87</v>
      </c>
    </row>
    <row r="6" spans="1:13" x14ac:dyDescent="0.25">
      <c r="I6" s="1" t="s">
        <v>7</v>
      </c>
      <c r="J6" s="6"/>
    </row>
    <row r="7" spans="1:13" s="5" customFormat="1" x14ac:dyDescent="0.25">
      <c r="A7" s="7" t="s">
        <v>9</v>
      </c>
      <c r="B7" s="7"/>
      <c r="C7" s="7" t="s">
        <v>10</v>
      </c>
      <c r="D7" s="7" t="s">
        <v>11</v>
      </c>
      <c r="E7" s="5" t="s">
        <v>12</v>
      </c>
      <c r="I7" s="1" t="s">
        <v>8</v>
      </c>
      <c r="J7" s="7"/>
      <c r="L7" s="7"/>
    </row>
    <row r="8" spans="1:13" s="5" customFormat="1" x14ac:dyDescent="0.25">
      <c r="A8" s="32">
        <f>SUM(C8:G8)</f>
        <v>66400</v>
      </c>
      <c r="B8" s="32"/>
      <c r="C8" s="35">
        <v>40000</v>
      </c>
      <c r="D8" s="35">
        <v>26400</v>
      </c>
      <c r="E8" s="33">
        <v>0</v>
      </c>
      <c r="I8" s="1" t="s">
        <v>13</v>
      </c>
      <c r="J8" s="7"/>
      <c r="K8" s="9"/>
      <c r="L8" s="10"/>
    </row>
    <row r="9" spans="1:13" s="5" customFormat="1" x14ac:dyDescent="0.25">
      <c r="A9" s="7"/>
      <c r="B9" s="7"/>
      <c r="D9" s="8"/>
      <c r="F9" s="8"/>
      <c r="I9" s="1" t="s">
        <v>14</v>
      </c>
      <c r="J9" s="7"/>
      <c r="K9" s="9"/>
      <c r="L9" s="10"/>
    </row>
    <row r="10" spans="1:13" x14ac:dyDescent="0.25">
      <c r="A10" s="11" t="s">
        <v>16</v>
      </c>
      <c r="B10" s="11"/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I10" s="1" t="s">
        <v>83</v>
      </c>
    </row>
    <row r="11" spans="1:13" x14ac:dyDescent="0.25">
      <c r="A11" s="12" t="s">
        <v>18</v>
      </c>
      <c r="B11" s="12"/>
      <c r="C11" s="13">
        <v>10</v>
      </c>
      <c r="D11" s="14">
        <f>(C11+C12)-C25</f>
        <v>10</v>
      </c>
      <c r="E11" s="14">
        <f>(D11+D12)-D25</f>
        <v>9</v>
      </c>
      <c r="F11" s="14">
        <f>(E11+E12)-E25</f>
        <v>8.85</v>
      </c>
      <c r="G11" s="14">
        <f>(F11+F12)-F25</f>
        <v>8.6999999999999993</v>
      </c>
      <c r="I11" s="5" t="s">
        <v>15</v>
      </c>
    </row>
    <row r="12" spans="1:13" x14ac:dyDescent="0.25">
      <c r="A12" s="12" t="s">
        <v>19</v>
      </c>
      <c r="B12" s="12"/>
      <c r="C12" s="13">
        <v>4</v>
      </c>
      <c r="D12" s="14">
        <f t="shared" ref="D12:G12" si="0">C13</f>
        <v>4</v>
      </c>
      <c r="E12" s="14">
        <f t="shared" si="0"/>
        <v>4.8499999999999996</v>
      </c>
      <c r="F12" s="14">
        <f t="shared" si="0"/>
        <v>4.8499999999999996</v>
      </c>
      <c r="G12" s="14">
        <f t="shared" si="0"/>
        <v>4.6681249999999999</v>
      </c>
    </row>
    <row r="13" spans="1:13" x14ac:dyDescent="0.25">
      <c r="A13" s="12" t="s">
        <v>20</v>
      </c>
      <c r="B13" s="12"/>
      <c r="C13" s="13">
        <v>4</v>
      </c>
      <c r="D13" s="14">
        <f t="shared" ref="D13:G13" si="1">(C14*0.5)*0.97</f>
        <v>4.8499999999999996</v>
      </c>
      <c r="E13" s="14">
        <f t="shared" si="1"/>
        <v>4.8499999999999996</v>
      </c>
      <c r="F13" s="14">
        <f t="shared" si="1"/>
        <v>4.6681249999999999</v>
      </c>
      <c r="G13" s="14">
        <f t="shared" si="1"/>
        <v>4.6099249999999996</v>
      </c>
    </row>
    <row r="14" spans="1:13" x14ac:dyDescent="0.25">
      <c r="A14" s="15" t="s">
        <v>21</v>
      </c>
      <c r="B14" s="15"/>
      <c r="C14" s="14">
        <f t="shared" ref="C14:G14" si="2">((C11*C15)+(C12*0.5))</f>
        <v>10</v>
      </c>
      <c r="D14" s="14">
        <f t="shared" si="2"/>
        <v>10</v>
      </c>
      <c r="E14" s="14">
        <f t="shared" si="2"/>
        <v>9.625</v>
      </c>
      <c r="F14" s="14">
        <f t="shared" si="2"/>
        <v>9.504999999999999</v>
      </c>
      <c r="G14" s="14">
        <f t="shared" si="2"/>
        <v>9.294062499999999</v>
      </c>
    </row>
    <row r="15" spans="1:13" x14ac:dyDescent="0.25">
      <c r="A15" s="16" t="s">
        <v>22</v>
      </c>
      <c r="B15" s="16"/>
      <c r="C15" s="17">
        <v>0.8</v>
      </c>
      <c r="D15" s="17">
        <v>0.8</v>
      </c>
      <c r="E15" s="17">
        <v>0.8</v>
      </c>
      <c r="F15" s="17">
        <v>0.8</v>
      </c>
      <c r="G15" s="17">
        <v>0.8</v>
      </c>
    </row>
    <row r="16" spans="1:13" x14ac:dyDescent="0.25">
      <c r="A16" s="15" t="s">
        <v>23</v>
      </c>
      <c r="B16" s="15"/>
      <c r="C16" s="18">
        <v>17</v>
      </c>
      <c r="D16" s="14">
        <f>((C16+C17)-(C23+C28))*0.98</f>
        <v>15.68</v>
      </c>
      <c r="E16" s="14">
        <f>((D16+D17)-(D23+D28))*0.98</f>
        <v>16.199400000000001</v>
      </c>
      <c r="F16" s="14">
        <f>((E16+E17)-(E23+E28))*0.98</f>
        <v>16.708411999999999</v>
      </c>
      <c r="G16" s="14">
        <f>((F16+F17)-(F23+F28))*0.98</f>
        <v>17.029006259999999</v>
      </c>
    </row>
    <row r="17" spans="1:17" x14ac:dyDescent="0.25">
      <c r="A17" s="12" t="s">
        <v>24</v>
      </c>
      <c r="B17" s="12"/>
      <c r="C17" s="13">
        <v>4</v>
      </c>
      <c r="D17" s="14">
        <f>(C14*0.5)*0.97</f>
        <v>4.8499999999999996</v>
      </c>
      <c r="E17" s="14">
        <f>(D14*0.5)*0.97</f>
        <v>4.8499999999999996</v>
      </c>
      <c r="F17" s="14">
        <f>(E14*0.5)*0.97</f>
        <v>4.6681249999999999</v>
      </c>
      <c r="G17" s="14">
        <f>(F14*0.5)*0.97</f>
        <v>4.6099249999999996</v>
      </c>
    </row>
    <row r="18" spans="1:17" x14ac:dyDescent="0.25">
      <c r="A18" s="15" t="s">
        <v>25</v>
      </c>
      <c r="B18" s="15"/>
      <c r="C18" s="14">
        <f t="shared" ref="C18:G18" si="3">SUM(C11:C17)</f>
        <v>49.8</v>
      </c>
      <c r="D18" s="14">
        <f t="shared" si="3"/>
        <v>50.18</v>
      </c>
      <c r="E18" s="14">
        <f t="shared" si="3"/>
        <v>50.174399999999999</v>
      </c>
      <c r="F18" s="14">
        <f t="shared" si="3"/>
        <v>50.049661999999998</v>
      </c>
      <c r="G18" s="14">
        <f t="shared" si="3"/>
        <v>49.711043759999995</v>
      </c>
    </row>
    <row r="19" spans="1:17" x14ac:dyDescent="0.25">
      <c r="A19" s="15" t="s">
        <v>26</v>
      </c>
      <c r="B19" s="15"/>
      <c r="C19" s="19">
        <f>SUM(C11*C26)+((C16*0.25)*C24)+(C16*0.75*C29)+(C13*C22)+(C14*C22)+(C12*0.85*C26)+(C17*1000)</f>
        <v>91590</v>
      </c>
      <c r="D19" s="19">
        <f>SUM(D11*D26)+((D16*0.25)*D24)+(D16*0.75*D29)+(D13*D22)+(D14*D22)+(D12*0.85*D26)+(D17*1000)</f>
        <v>92303.074999999997</v>
      </c>
      <c r="E19" s="19">
        <f>SUM(E11*E26)+((E16*0.25)*E24)+(E16*0.75*E29)+(E13*E22)+(E14*E22)+(E12*0.85*E26)+(E17*1000)</f>
        <v>98373.487437500022</v>
      </c>
      <c r="F19" s="19">
        <f>SUM(F11*F26)+((F16*0.25)*F24)+(F16*0.75*F29)+(F13*F22)+(F14*F22)+(F12*0.85*F26)+(F17*1000)</f>
        <v>104873.01673353124</v>
      </c>
      <c r="G19" s="19">
        <f>SUM(G11*G26)+((G16*0.25)*G24)+(G16*0.75*G29)+(G13*G22)+(G14*G22)+(G12*0.85*G26)+(G17*1000)</f>
        <v>110927.75289296669</v>
      </c>
    </row>
    <row r="20" spans="1:17" x14ac:dyDescent="0.25">
      <c r="A20" s="11" t="s">
        <v>27</v>
      </c>
      <c r="B20" s="11"/>
    </row>
    <row r="21" spans="1:17" x14ac:dyDescent="0.25">
      <c r="A21" s="12" t="s">
        <v>28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17" x14ac:dyDescent="0.25">
      <c r="A22" s="15" t="s">
        <v>29</v>
      </c>
      <c r="B22" s="15"/>
      <c r="C22" s="19">
        <v>650</v>
      </c>
      <c r="D22" s="19">
        <f>C22*1.03</f>
        <v>669.5</v>
      </c>
      <c r="E22" s="19">
        <f t="shared" ref="E22:G22" si="4">D22*1.03</f>
        <v>689.58500000000004</v>
      </c>
      <c r="F22" s="19">
        <f t="shared" si="4"/>
        <v>710.27255000000002</v>
      </c>
      <c r="G22" s="19">
        <f t="shared" si="4"/>
        <v>731.58072650000008</v>
      </c>
    </row>
    <row r="23" spans="1:17" x14ac:dyDescent="0.25">
      <c r="A23" s="12" t="s">
        <v>30</v>
      </c>
      <c r="B23" s="12"/>
      <c r="C23" s="13">
        <v>5</v>
      </c>
      <c r="D23" s="13">
        <v>4</v>
      </c>
      <c r="E23" s="13">
        <v>4</v>
      </c>
      <c r="F23" s="13">
        <v>4</v>
      </c>
      <c r="G23" s="13">
        <v>4</v>
      </c>
    </row>
    <row r="24" spans="1:17" x14ac:dyDescent="0.25">
      <c r="A24" s="12" t="s">
        <v>31</v>
      </c>
      <c r="B24" s="12"/>
      <c r="C24" s="19">
        <v>1500</v>
      </c>
      <c r="D24" s="19">
        <f>C24*1.1</f>
        <v>1650.0000000000002</v>
      </c>
      <c r="E24" s="19">
        <f t="shared" ref="E24:G24" si="5">D24*1.1</f>
        <v>1815.0000000000005</v>
      </c>
      <c r="F24" s="19">
        <f t="shared" si="5"/>
        <v>1996.5000000000007</v>
      </c>
      <c r="G24" s="19">
        <f t="shared" si="5"/>
        <v>2196.150000000001</v>
      </c>
      <c r="H24" s="34"/>
      <c r="Q24" s="14"/>
    </row>
    <row r="25" spans="1:17" x14ac:dyDescent="0.25">
      <c r="A25" s="15" t="s">
        <v>32</v>
      </c>
      <c r="B25" s="15"/>
      <c r="C25" s="18">
        <v>4</v>
      </c>
      <c r="D25" s="18">
        <v>5</v>
      </c>
      <c r="E25" s="18">
        <v>5</v>
      </c>
      <c r="F25" s="18">
        <v>5</v>
      </c>
      <c r="G25" s="18">
        <v>5</v>
      </c>
    </row>
    <row r="26" spans="1:17" x14ac:dyDescent="0.25">
      <c r="A26" s="15" t="s">
        <v>33</v>
      </c>
      <c r="B26" s="15"/>
      <c r="C26" s="19">
        <v>1100</v>
      </c>
      <c r="D26" s="19">
        <f>C26*1.05</f>
        <v>1155</v>
      </c>
      <c r="E26" s="19">
        <f t="shared" ref="E26:G26" si="6">D26*1.05</f>
        <v>1212.75</v>
      </c>
      <c r="F26" s="19">
        <f t="shared" si="6"/>
        <v>1273.3875</v>
      </c>
      <c r="G26" s="19">
        <f t="shared" si="6"/>
        <v>1337.056875</v>
      </c>
    </row>
    <row r="27" spans="1:17" x14ac:dyDescent="0.25">
      <c r="A27" s="12" t="s">
        <v>34</v>
      </c>
      <c r="B27" s="12"/>
      <c r="C27" s="14">
        <f>C18*0.02</f>
        <v>0.996</v>
      </c>
      <c r="D27" s="14">
        <f t="shared" ref="D27:G27" si="7">D18*0.02</f>
        <v>1.0036</v>
      </c>
      <c r="E27" s="14">
        <f t="shared" si="7"/>
        <v>1.0034879999999999</v>
      </c>
      <c r="F27" s="14">
        <f t="shared" si="7"/>
        <v>1.0009932399999999</v>
      </c>
      <c r="G27" s="14">
        <f t="shared" si="7"/>
        <v>0.99422087519999991</v>
      </c>
    </row>
    <row r="28" spans="1:17" x14ac:dyDescent="0.25">
      <c r="A28" s="12" t="s">
        <v>35</v>
      </c>
      <c r="B28" s="12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4"/>
    </row>
    <row r="29" spans="1:17" x14ac:dyDescent="0.25">
      <c r="A29" s="12" t="s">
        <v>36</v>
      </c>
      <c r="B29" s="12"/>
      <c r="C29" s="19">
        <v>4500</v>
      </c>
      <c r="D29" s="19">
        <f t="shared" ref="D29:G29" si="8">C29*1.05</f>
        <v>4725</v>
      </c>
      <c r="E29" s="19">
        <f t="shared" si="8"/>
        <v>4961.25</v>
      </c>
      <c r="F29" s="19">
        <f t="shared" si="8"/>
        <v>5209.3125</v>
      </c>
      <c r="G29" s="19">
        <f t="shared" si="8"/>
        <v>5469.7781249999998</v>
      </c>
    </row>
    <row r="30" spans="1:17" x14ac:dyDescent="0.25">
      <c r="A30" s="15" t="s">
        <v>37</v>
      </c>
      <c r="B30" s="15"/>
      <c r="C30" s="20">
        <f>((C16-C28)*25)+(C17*4)</f>
        <v>441</v>
      </c>
      <c r="D30" s="20">
        <f t="shared" ref="D30:G30" si="9">((D16-D28)*25)+(D17*4)</f>
        <v>411.4</v>
      </c>
      <c r="E30" s="20">
        <f t="shared" si="9"/>
        <v>424.38499999999999</v>
      </c>
      <c r="F30" s="20">
        <f t="shared" si="9"/>
        <v>436.38279999999997</v>
      </c>
      <c r="G30" s="20">
        <f t="shared" si="9"/>
        <v>444.16485649999998</v>
      </c>
    </row>
    <row r="31" spans="1:17" x14ac:dyDescent="0.25">
      <c r="A31" s="15" t="s">
        <v>38</v>
      </c>
      <c r="B31" s="15"/>
      <c r="C31" s="21">
        <v>35</v>
      </c>
      <c r="D31" s="21">
        <v>35</v>
      </c>
      <c r="E31" s="21">
        <v>35</v>
      </c>
      <c r="F31" s="21">
        <v>35</v>
      </c>
      <c r="G31" s="21">
        <v>35</v>
      </c>
    </row>
    <row r="32" spans="1:17" x14ac:dyDescent="0.25">
      <c r="A32" s="11" t="s">
        <v>39</v>
      </c>
      <c r="B32" s="11"/>
      <c r="C32" s="19">
        <f>(C21*C22)+(C23*C24)+(C25*C26)+(C28*C29)+(C30*C31)</f>
        <v>27335</v>
      </c>
      <c r="D32" s="19">
        <f t="shared" ref="D32:G32" si="10">(D21*D22)+(D23*D24)+(D25*D26)+(D28*D29)+(D30*D31)</f>
        <v>26774</v>
      </c>
      <c r="E32" s="19">
        <f t="shared" si="10"/>
        <v>28177.225000000002</v>
      </c>
      <c r="F32" s="19">
        <f t="shared" si="10"/>
        <v>29626.335500000001</v>
      </c>
      <c r="G32" s="19">
        <f t="shared" si="10"/>
        <v>31015.654352500005</v>
      </c>
    </row>
    <row r="33" spans="1:8" x14ac:dyDescent="0.25">
      <c r="A33" s="15" t="s">
        <v>40</v>
      </c>
      <c r="B33" s="15"/>
      <c r="C33" s="19">
        <f t="shared" ref="C33:G33" si="11">C32/(C16+C11)</f>
        <v>1012.4074074074074</v>
      </c>
      <c r="D33" s="19">
        <f t="shared" si="11"/>
        <v>1042.601246105919</v>
      </c>
      <c r="E33" s="19">
        <f t="shared" si="11"/>
        <v>1118.170472312833</v>
      </c>
      <c r="F33" s="19">
        <f t="shared" si="11"/>
        <v>1159.1618250773954</v>
      </c>
      <c r="G33" s="19">
        <f t="shared" si="11"/>
        <v>1205.4742433142076</v>
      </c>
    </row>
    <row r="34" spans="1:8" x14ac:dyDescent="0.25">
      <c r="C34" s="14"/>
    </row>
    <row r="35" spans="1:8" x14ac:dyDescent="0.25">
      <c r="A35" s="11" t="s">
        <v>41</v>
      </c>
      <c r="B35" s="11"/>
    </row>
    <row r="36" spans="1:8" x14ac:dyDescent="0.25">
      <c r="A36" s="15" t="s">
        <v>42</v>
      </c>
      <c r="B36" s="15"/>
      <c r="C36" s="19">
        <f>((C11+C12+C13)*200)</f>
        <v>3600</v>
      </c>
      <c r="D36" s="19">
        <f t="shared" ref="D36:G36" si="12">((D11+D12+D13)*200)</f>
        <v>3770.0000000000005</v>
      </c>
      <c r="E36" s="19">
        <f t="shared" si="12"/>
        <v>3740</v>
      </c>
      <c r="F36" s="19">
        <f t="shared" si="12"/>
        <v>3673.625</v>
      </c>
      <c r="G36" s="19">
        <f t="shared" si="12"/>
        <v>3595.61</v>
      </c>
    </row>
    <row r="37" spans="1:8" x14ac:dyDescent="0.25">
      <c r="A37" s="15" t="s">
        <v>43</v>
      </c>
      <c r="B37" s="22">
        <v>0.02</v>
      </c>
      <c r="C37" s="19">
        <f>D8*B37</f>
        <v>528</v>
      </c>
      <c r="D37" s="14">
        <f t="shared" ref="D37:G37" si="13">C37*1.05</f>
        <v>554.4</v>
      </c>
      <c r="E37" s="14">
        <f t="shared" si="13"/>
        <v>582.12</v>
      </c>
      <c r="F37" s="14">
        <f t="shared" si="13"/>
        <v>611.226</v>
      </c>
      <c r="G37" s="14">
        <f t="shared" si="13"/>
        <v>641.78730000000007</v>
      </c>
    </row>
    <row r="38" spans="1:8" x14ac:dyDescent="0.25">
      <c r="A38" s="12" t="s">
        <v>44</v>
      </c>
      <c r="B38" s="23">
        <v>0.02</v>
      </c>
      <c r="C38" s="19">
        <f>C8*B38</f>
        <v>800</v>
      </c>
      <c r="D38" s="14">
        <f t="shared" ref="D38:G38" si="14">C38*1.03</f>
        <v>824</v>
      </c>
      <c r="E38" s="14">
        <f t="shared" si="14"/>
        <v>848.72</v>
      </c>
      <c r="F38" s="14">
        <f t="shared" si="14"/>
        <v>874.1816</v>
      </c>
      <c r="G38" s="14">
        <f t="shared" si="14"/>
        <v>900.40704800000003</v>
      </c>
    </row>
    <row r="39" spans="1:8" x14ac:dyDescent="0.25">
      <c r="A39" s="15" t="s">
        <v>45</v>
      </c>
      <c r="B39" s="22">
        <v>120</v>
      </c>
      <c r="C39" s="19">
        <f>((C11*15*180)+(C12*15*180)+(C17*20*180)+(C16*20*180)+(C13*15*180)+(C14*10*120))/2000*B39</f>
        <v>8171.9999999999991</v>
      </c>
      <c r="D39" s="19">
        <f>((D11*15*180)+(D12*15*180)+(D17*20*180)+(D16*20*180)+(D13*15*180)+(D14*10*120))/2000*B39</f>
        <v>8208.18</v>
      </c>
      <c r="E39" s="19">
        <f>((E11*15*180)+(E12*15*180)+(E17*20*180)+(E16*20*180)+(E13*15*180)+(E14*10*120))/2000*B39</f>
        <v>8269.0703999999987</v>
      </c>
      <c r="F39" s="19">
        <f>((F11*15*180)+(F12*15*180)+(F17*20*180)+(F16*20*180)+(F13*15*180)+(F14*10*120))/2000*B39</f>
        <v>8277.3282419999996</v>
      </c>
      <c r="G39" s="19">
        <f>((G11*15*180)+(G12*15*180)+(G17*20*180)+(G16*20*180)+(G13*15*180)+(G14*10*120))/2000*B39</f>
        <v>8255.6257521599982</v>
      </c>
    </row>
    <row r="40" spans="1:8" x14ac:dyDescent="0.25">
      <c r="A40" s="15" t="s">
        <v>71</v>
      </c>
      <c r="B40" s="22">
        <v>120</v>
      </c>
      <c r="C40" s="24">
        <f>((C11*3*180)+(C12*3*180)+(C16*5*180)+(C17*5*180)+(C13*4*180)+(C14*3*120))*(B40/2000)</f>
        <v>1976.3999999999999</v>
      </c>
      <c r="D40" s="24">
        <f>((D11*3*180)+(D12*3*180)+(D16*5*180)+(D17*5*180)+(D13*4*180)+(D14*3*120))*(B40/2000)</f>
        <v>1987.74</v>
      </c>
      <c r="E40" s="24">
        <f>((E11*3*180)+(E12*3*180)+(E16*5*180)+(E17*5*180)+(E13*4*180)+(E14*3*120))*(B40/2000)</f>
        <v>2002.8275999999998</v>
      </c>
      <c r="F40" s="24">
        <f>((F11*3*180)+(F12*3*180)+(F16*5*180)+(F17*5*180)+(F13*4*180)+(F14*3*120))*(B40/2000)</f>
        <v>2005.183998</v>
      </c>
      <c r="G40" s="24">
        <f>((G11*3*180)+(G12*3*180)+(G16*5*180)+(G17*5*180)+(G13*4*180)+(G14*3*120))*(B40/2000)</f>
        <v>2001.5300480399997</v>
      </c>
      <c r="H40" s="1" t="s">
        <v>47</v>
      </c>
    </row>
    <row r="41" spans="1:8" x14ac:dyDescent="0.25">
      <c r="A41" s="15" t="s">
        <v>48</v>
      </c>
      <c r="B41" s="22">
        <v>400</v>
      </c>
      <c r="C41" s="19">
        <f>((C11*0.5*365)+(C16*0.5*365)+(C17*0.5*365)+ (B12*0.5*365)+(C13*0.5*365)+(C14*0.5*120))*(B41/2000)</f>
        <v>1397.5</v>
      </c>
      <c r="D41" s="19">
        <f>((D11*0.5*365)+(D16*0.5*365)+(D17*0.5*365)+ (C12*0.5*365)+(D13*0.5*365)+(D14*0.5*120))*(B41/2000)</f>
        <v>1557.3700000000001</v>
      </c>
      <c r="E41" s="19">
        <f>((E11*0.5*365)+(E16*0.5*365)+(E17*0.5*365)+ (D12*0.5*365)+(E13*0.5*365)+(E14*0.5*120))*(B41/2000)</f>
        <v>1535.3280999999999</v>
      </c>
      <c r="F41" s="19">
        <f>((F11*0.5*365)+(F16*0.5*365)+(F17*0.5*365)+ (E12*0.5*365)+(F13*0.5*365)+(F14*0.5*120))*(B41/2000)</f>
        <v>1564.7401630000004</v>
      </c>
      <c r="G41" s="19">
        <f>((G11*0.5*365)+(G16*0.5*365)+(G17*0.5*365)+ (F12*0.5*365)+(G13*0.5*365)+(G14*0.5*120))*(B41/2000)</f>
        <v>1564.1870034900001</v>
      </c>
      <c r="H41" s="1" t="s">
        <v>72</v>
      </c>
    </row>
    <row r="42" spans="1:8" x14ac:dyDescent="0.25">
      <c r="A42" s="15" t="s">
        <v>50</v>
      </c>
      <c r="B42" s="22">
        <v>15</v>
      </c>
      <c r="C42" s="19">
        <f>(C11+C16+C12+C17+C13+C14)*B42</f>
        <v>735</v>
      </c>
      <c r="D42" s="19">
        <f>(D11+D16+D12+D17+D13+D14)*B42</f>
        <v>740.7</v>
      </c>
      <c r="E42" s="19">
        <f>(E11+E16+E12+E17+E13+E14)*B42</f>
        <v>740.61599999999999</v>
      </c>
      <c r="F42" s="19">
        <f>(F11+F16+F12+F17+F13+F14)*B42</f>
        <v>738.74493000000007</v>
      </c>
      <c r="G42" s="19">
        <f>(G11+G16+G12+G17+G13+G14)*B42</f>
        <v>733.66565639999999</v>
      </c>
    </row>
    <row r="43" spans="1:8" x14ac:dyDescent="0.25">
      <c r="A43" s="15" t="s">
        <v>51</v>
      </c>
      <c r="B43" s="22">
        <v>10</v>
      </c>
      <c r="C43" s="19">
        <f>(C11+C16+C12+C17+C13+C14)*B43</f>
        <v>490</v>
      </c>
      <c r="D43" s="19">
        <f>(D11+D16+D12+D17+D13+D14)*B43</f>
        <v>493.8</v>
      </c>
      <c r="E43" s="19">
        <f>(E11+E16+E12+E17+E13+E14)*B43</f>
        <v>493.74400000000003</v>
      </c>
      <c r="F43" s="19">
        <f>(F11+F16+F12+F17+F13+F14)*B43</f>
        <v>492.49662000000001</v>
      </c>
      <c r="G43" s="19">
        <f>(G11+G16+G12+G17+G13+G14)*B43</f>
        <v>489.11043759999995</v>
      </c>
    </row>
    <row r="44" spans="1:8" x14ac:dyDescent="0.25">
      <c r="A44" s="15" t="s">
        <v>52</v>
      </c>
      <c r="B44" s="22">
        <v>40</v>
      </c>
      <c r="C44" s="19">
        <f>(C11+C16+C12+C17+C13+C14)*B44</f>
        <v>1960</v>
      </c>
      <c r="D44" s="19">
        <f>(D11+D16+D12+D17+D13+D14)*B44</f>
        <v>1975.2</v>
      </c>
      <c r="E44" s="19">
        <f>(E11+E16+E12+E17+E13+E14)*B44</f>
        <v>1974.9760000000001</v>
      </c>
      <c r="F44" s="19">
        <f>(F11+F16+F12+F17+F13+F14)*B44</f>
        <v>1969.98648</v>
      </c>
      <c r="G44" s="19">
        <f>(G11+G16+G12+G17+G13+G14)*B44</f>
        <v>1956.4417503999998</v>
      </c>
    </row>
    <row r="45" spans="1:8" x14ac:dyDescent="0.25">
      <c r="A45" s="15" t="s">
        <v>53</v>
      </c>
      <c r="B45" s="22">
        <v>30</v>
      </c>
      <c r="C45" s="19">
        <f>(C11+C16+C12+C17+C13+C14)*B45</f>
        <v>1470</v>
      </c>
      <c r="D45" s="19">
        <f>(D11+D16+D12+D17+D13+D14)*B45</f>
        <v>1481.4</v>
      </c>
      <c r="E45" s="19">
        <f>(E11+E16+E12+E17+E13+E14)*B45</f>
        <v>1481.232</v>
      </c>
      <c r="F45" s="19">
        <f>(F11+F16+F12+F17+F13+F14)*B45</f>
        <v>1477.4898600000001</v>
      </c>
      <c r="G45" s="19">
        <f>(G11+G16+G12+G17+G13+G14)*B45</f>
        <v>1467.3313128</v>
      </c>
    </row>
    <row r="46" spans="1:8" x14ac:dyDescent="0.25">
      <c r="A46" s="11" t="s">
        <v>54</v>
      </c>
      <c r="B46" s="11"/>
      <c r="C46" s="19">
        <f>SUM(C36:C45)</f>
        <v>21128.9</v>
      </c>
      <c r="D46" s="19">
        <f t="shared" ref="D46:G46" si="15">SUM(D36:D45)</f>
        <v>21592.790000000005</v>
      </c>
      <c r="E46" s="19">
        <f t="shared" si="15"/>
        <v>21668.634099999996</v>
      </c>
      <c r="F46" s="19">
        <f t="shared" si="15"/>
        <v>21685.002893000001</v>
      </c>
      <c r="G46" s="19">
        <f t="shared" si="15"/>
        <v>21605.696308890001</v>
      </c>
    </row>
    <row r="47" spans="1:8" x14ac:dyDescent="0.25">
      <c r="A47" s="15" t="s">
        <v>55</v>
      </c>
      <c r="B47" s="15"/>
      <c r="C47" s="19">
        <f>C46/(C11+C16+C13+C14)</f>
        <v>515.33902439024394</v>
      </c>
      <c r="D47" s="19">
        <f>D46/(D11+D16+D13+D14)</f>
        <v>532.76067110782151</v>
      </c>
      <c r="E47" s="19">
        <f>E46/(E11+E16+E13+E14)</f>
        <v>546.16160798903059</v>
      </c>
      <c r="F47" s="19">
        <f>F46/(F11+F16+F13+F14)</f>
        <v>545.7881705658657</v>
      </c>
      <c r="G47" s="19">
        <f>G46/(G11+G16+G13+G14)</f>
        <v>545.14419071454984</v>
      </c>
    </row>
    <row r="48" spans="1:8" x14ac:dyDescent="0.25">
      <c r="C48" s="19"/>
      <c r="D48" s="19"/>
      <c r="E48" s="19"/>
      <c r="F48" s="19"/>
      <c r="G48" s="19"/>
    </row>
    <row r="49" spans="1:12" x14ac:dyDescent="0.25">
      <c r="A49" s="11" t="s">
        <v>56</v>
      </c>
      <c r="B49" s="11"/>
      <c r="C49" s="19">
        <f>C32-C46</f>
        <v>6206.0999999999985</v>
      </c>
      <c r="D49" s="19">
        <f t="shared" ref="D49:G49" si="16">D32-D46</f>
        <v>5181.2099999999955</v>
      </c>
      <c r="E49" s="19">
        <f t="shared" si="16"/>
        <v>6508.5909000000065</v>
      </c>
      <c r="F49" s="19">
        <f t="shared" si="16"/>
        <v>7941.3326070000003</v>
      </c>
      <c r="G49" s="19">
        <f t="shared" si="16"/>
        <v>9409.9580436100041</v>
      </c>
    </row>
    <row r="50" spans="1:12" x14ac:dyDescent="0.25">
      <c r="A50" s="15" t="s">
        <v>57</v>
      </c>
      <c r="B50" s="15"/>
      <c r="C50" s="19">
        <f>C49/(C16+C11)</f>
        <v>229.8555555555555</v>
      </c>
      <c r="D50" s="19">
        <f>D49/(D16+D11)</f>
        <v>201.76051401869142</v>
      </c>
      <c r="E50" s="19">
        <f>E49/(E16+E11)</f>
        <v>258.28356627538778</v>
      </c>
      <c r="F50" s="19">
        <f>F49/(F16+F11)</f>
        <v>310.7130680497678</v>
      </c>
      <c r="G50" s="19">
        <f>G49/(G16+G11)</f>
        <v>365.73344296780488</v>
      </c>
    </row>
    <row r="51" spans="1:12" x14ac:dyDescent="0.25">
      <c r="A51" s="16" t="s">
        <v>58</v>
      </c>
      <c r="B51" s="16"/>
      <c r="C51" s="17">
        <f>(C49/(((C11+C13)*C26)+(C16*C29)+(((C14*0.5)-C21)*C22)+D8))*100</f>
        <v>5.1058000822706697</v>
      </c>
      <c r="D51" s="17">
        <f>(D49/(((D11+D13)*D26)+(D16*D29)+(((D14*0.5)-D21)*D22)+E8))*100</f>
        <v>5.4777044474810239</v>
      </c>
      <c r="E51" s="17">
        <f>(E49/(((E11+E13)*E26)+(E16*E29)+(((E14*0.5)-E21)*E22)+F8))*100</f>
        <v>6.4772095605101789</v>
      </c>
      <c r="F51" s="17">
        <f>(F49/(((F11+F13)*F26)+(F16*F29)+(((F14*0.5)-F21)*F22)+G8))*100</f>
        <v>7.3784511420403858</v>
      </c>
      <c r="G51" s="17">
        <f>(G49/(((G11+G13)*G26)+(G16*G29)+(((G14*0.5)-G21)*G22)+H8))*100</f>
        <v>8.2297543844139103</v>
      </c>
      <c r="H51" s="27">
        <f>SUM(C51:G51)/5</f>
        <v>6.5337839233432335</v>
      </c>
    </row>
    <row r="52" spans="1:12" x14ac:dyDescent="0.25">
      <c r="C52" s="14"/>
      <c r="D52" s="14"/>
      <c r="E52" s="14"/>
      <c r="F52" s="14"/>
      <c r="G52" s="14"/>
      <c r="I52" s="14"/>
      <c r="J52" s="14"/>
      <c r="K52" s="14"/>
      <c r="L52" s="14"/>
    </row>
    <row r="53" spans="1:12" x14ac:dyDescent="0.25">
      <c r="A53" s="5" t="s">
        <v>59</v>
      </c>
      <c r="C53" s="14"/>
      <c r="E53" s="14"/>
    </row>
    <row r="54" spans="1:12" x14ac:dyDescent="0.25">
      <c r="A54" s="1" t="s">
        <v>60</v>
      </c>
      <c r="B54" s="27">
        <f>G19</f>
        <v>110927.75289296669</v>
      </c>
      <c r="C54" s="29"/>
    </row>
    <row r="55" spans="1:12" x14ac:dyDescent="0.25">
      <c r="A55" s="1" t="s">
        <v>61</v>
      </c>
      <c r="B55" s="27">
        <f>(C8+D8)*0.5</f>
        <v>33200</v>
      </c>
      <c r="C55" s="29" t="s">
        <v>76</v>
      </c>
    </row>
    <row r="56" spans="1:12" x14ac:dyDescent="0.25">
      <c r="A56" s="5" t="s">
        <v>62</v>
      </c>
      <c r="B56" s="28">
        <f>SUM(B54:B55)</f>
        <v>144127.75289296667</v>
      </c>
      <c r="D56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 yr fin</vt:lpstr>
      <vt:lpstr>5 yr fin</vt:lpstr>
      <vt:lpstr>5 yr starter 10-10 trophy</vt:lpstr>
      <vt:lpstr>5 yr Starter 10-1 trophy</vt:lpstr>
      <vt:lpstr>5 yr starter v-m 10-10</vt:lpstr>
      <vt:lpstr>10 yr starter 10-10 trophy </vt:lpstr>
      <vt:lpstr>10 yr starter 10-1 trophy</vt:lpstr>
      <vt:lpstr>10 r starter v-m 10-10</vt:lpstr>
      <vt:lpstr>5 yr exist v-m</vt:lpstr>
      <vt:lpstr>10 yr exist v-m</vt:lpstr>
      <vt:lpstr>5 yr exist trophy</vt:lpstr>
      <vt:lpstr>10 yr exist trophy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Azcarraga</dc:creator>
  <cp:lastModifiedBy>Brenda</cp:lastModifiedBy>
  <dcterms:created xsi:type="dcterms:W3CDTF">2018-01-08T20:05:15Z</dcterms:created>
  <dcterms:modified xsi:type="dcterms:W3CDTF">2018-09-26T14:09:07Z</dcterms:modified>
</cp:coreProperties>
</file>